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195" windowHeight="8955" activeTab="0"/>
  </bookViews>
  <sheets>
    <sheet name="Druga izmena fin.plana za 2021." sheetId="1" r:id="rId1"/>
  </sheets>
  <definedNames/>
  <calcPr fullCalcOnLoad="1"/>
</workbook>
</file>

<file path=xl/sharedStrings.xml><?xml version="1.0" encoding="utf-8"?>
<sst xmlns="http://schemas.openxmlformats.org/spreadsheetml/2006/main" count="175" uniqueCount="156">
  <si>
    <t>1</t>
  </si>
  <si>
    <t>2</t>
  </si>
  <si>
    <t>Procena realizac.</t>
  </si>
  <si>
    <t>ЈП"КОВИНСКИ КОМУНАЛАЦ" КОВИН</t>
  </si>
  <si>
    <t>ПРИХОДИ ОД ПРОДАЈЕ РОБЕ</t>
  </si>
  <si>
    <t>Продаја погребне опреме</t>
  </si>
  <si>
    <t>Продаја опсег рамова</t>
  </si>
  <si>
    <t>УКУПНО ОД ПРОДАЈЕ РОБЕ:</t>
  </si>
  <si>
    <t>ПРИХОДИ ОД ПРОДАЈЕ УСЛУГА</t>
  </si>
  <si>
    <t xml:space="preserve">Ковин  </t>
  </si>
  <si>
    <t>Гај</t>
  </si>
  <si>
    <t>Делиблато</t>
  </si>
  <si>
    <t>Мраморак</t>
  </si>
  <si>
    <t>Плочица</t>
  </si>
  <si>
    <t>Скореновац</t>
  </si>
  <si>
    <t>Мало Баваниште</t>
  </si>
  <si>
    <t>Шумарак</t>
  </si>
  <si>
    <t>Дубовац</t>
  </si>
  <si>
    <t>Канализација</t>
  </si>
  <si>
    <t>Димничарска служба</t>
  </si>
  <si>
    <t>Грађевинска оператива</t>
  </si>
  <si>
    <t>Одржавање стамбених зграда</t>
  </si>
  <si>
    <t>Приходи радне заједнице</t>
  </si>
  <si>
    <t>УКУПНО ОД ПРОДАЈЕ УСЛУГА:</t>
  </si>
  <si>
    <t>Приходи од камата</t>
  </si>
  <si>
    <t>Остали непословни и ванредни приходи</t>
  </si>
  <si>
    <t>РАСХОДИ</t>
  </si>
  <si>
    <t>Расходи од продаје робе</t>
  </si>
  <si>
    <t>РАСХОДИ ОД ПРОДАЈЕ РОБЕ</t>
  </si>
  <si>
    <t>Наб.вредн.прод.робе и тр.израде опс.рамова</t>
  </si>
  <si>
    <t>УКУПНО:</t>
  </si>
  <si>
    <t>Материјал за израду</t>
  </si>
  <si>
    <t>Резервни делови</t>
  </si>
  <si>
    <t>Трошкови отписа ситног инвентара</t>
  </si>
  <si>
    <t>Канцеларијски материјал</t>
  </si>
  <si>
    <t>ТРОШКОВИ ГОРИВА И ЕНЕРГИЈЕ</t>
  </si>
  <si>
    <t>Гориво</t>
  </si>
  <si>
    <t>Електрична енергија</t>
  </si>
  <si>
    <t>Трошкови грејања</t>
  </si>
  <si>
    <t>ТРОШКОВИ ЗАРАДА</t>
  </si>
  <si>
    <t>Трошкови зарада</t>
  </si>
  <si>
    <t>Допринос за ПИО и коморе</t>
  </si>
  <si>
    <t>ОСТАЛИ ЛИЧНИ РАСХОДИ</t>
  </si>
  <si>
    <t>Солидарна помоћ</t>
  </si>
  <si>
    <t>Пакетићи</t>
  </si>
  <si>
    <t>Исхрана на сл.путовању</t>
  </si>
  <si>
    <t>Трошкови накнаде</t>
  </si>
  <si>
    <t>Трошкови превоза радника</t>
  </si>
  <si>
    <t>Уговор о делу</t>
  </si>
  <si>
    <t>Привремено повремени послови</t>
  </si>
  <si>
    <t>ТРОШКОВИ ПРОИЗВОДНИХ УСЛУГА</t>
  </si>
  <si>
    <t>Трошкови превоза</t>
  </si>
  <si>
    <t>ТРОШКОВИ АМОРТИЗАЦИЈЕ</t>
  </si>
  <si>
    <t>Амортизација</t>
  </si>
  <si>
    <t>НЕМАТЕРИЈАЛНИ ТРОШКОВИ</t>
  </si>
  <si>
    <t>Нематеријални трошкови</t>
  </si>
  <si>
    <t xml:space="preserve"> -анализа воде</t>
  </si>
  <si>
    <t>- услуге Савезног завод за мерење</t>
  </si>
  <si>
    <t>- здравствене услуге</t>
  </si>
  <si>
    <t>- трошкови саветовања</t>
  </si>
  <si>
    <t>- стручно образовање</t>
  </si>
  <si>
    <t>- трошкови сервисирања водомера</t>
  </si>
  <si>
    <t xml:space="preserve"> - oстале непроизводне услуге</t>
  </si>
  <si>
    <t>Трошкови репрезентације</t>
  </si>
  <si>
    <t>Трошкови платног промета</t>
  </si>
  <si>
    <t>Трошкови чланарина</t>
  </si>
  <si>
    <t>Трошкови пореза на имовину</t>
  </si>
  <si>
    <t>Трошкови одводњавања</t>
  </si>
  <si>
    <t>Трошкови огласа</t>
  </si>
  <si>
    <t>Остали нематеријални трошкови</t>
  </si>
  <si>
    <t>ТРОШКОВИ КАМАТА</t>
  </si>
  <si>
    <t>Трошкови камата</t>
  </si>
  <si>
    <t>Негативне курсне разлике</t>
  </si>
  <si>
    <t>Oстали непос.и ван.рас.-обезвређ.пот.и зал.</t>
  </si>
  <si>
    <t>ОПИС</t>
  </si>
  <si>
    <t>Приходи од продаје робе</t>
  </si>
  <si>
    <t>Приходи од продаје услуга</t>
  </si>
  <si>
    <t>Остали непословни и ван.приходи</t>
  </si>
  <si>
    <t>Трошкови материјала</t>
  </si>
  <si>
    <t>Трошкови горива и енергије</t>
  </si>
  <si>
    <t>Остали лични расходи</t>
  </si>
  <si>
    <t>Трошкови производних услуга</t>
  </si>
  <si>
    <t>Трошкови амортизације</t>
  </si>
  <si>
    <t>Остали непословни и ванредни расходи</t>
  </si>
  <si>
    <t>Приходи од дотације,субвенције и премија</t>
  </si>
  <si>
    <t>Трошкови интернета</t>
  </si>
  <si>
    <t>Трошкови одржавања основних средстава</t>
  </si>
  <si>
    <t>Трошкови комуналних услуга</t>
  </si>
  <si>
    <t>-трошкови услуге ревизије фин.извештаја</t>
  </si>
  <si>
    <t>Комунална такса за предузеће</t>
  </si>
  <si>
    <t>Остали непоменути расходи</t>
  </si>
  <si>
    <t xml:space="preserve">  plana  za 2010.</t>
  </si>
  <si>
    <t>Ребаланс плана</t>
  </si>
  <si>
    <t>зa 2010.гoд.</t>
  </si>
  <si>
    <t>Таксе за судске трошкове и тр.спорова</t>
  </si>
  <si>
    <t>Финансијски приходи</t>
  </si>
  <si>
    <t>Дневнице за сл.пут у иностранство</t>
  </si>
  <si>
    <t>Трошк.накнаде-употреба соп.возила</t>
  </si>
  <si>
    <t>Јубиларне награде</t>
  </si>
  <si>
    <t>Часописи стручна литература</t>
  </si>
  <si>
    <t>ТРОШКОВИ МАТЕРИЈАЛА</t>
  </si>
  <si>
    <t xml:space="preserve">Отпремнина за пензију </t>
  </si>
  <si>
    <t>Приходи од укидања резерв.отпремнина</t>
  </si>
  <si>
    <t xml:space="preserve">Приходи од накнаде за мерно место </t>
  </si>
  <si>
    <t>Прихватилиште за псе</t>
  </si>
  <si>
    <t>Трошкови закупа-архива</t>
  </si>
  <si>
    <t>Трошкови транспортних услуга i ПТТ услуге</t>
  </si>
  <si>
    <t>ФИНАНСИЈСКИ  ПРИХОДИ</t>
  </si>
  <si>
    <t>ОСТАЛИ НЕПОСЛОВ.И ВАНРЕДНИ ПРИХ.</t>
  </si>
  <si>
    <t>Трошкови закупа пословног простора</t>
  </si>
  <si>
    <t>Приходи од гробља у насељеним местима</t>
  </si>
  <si>
    <t>Приходи од пијаца у насељеним местима</t>
  </si>
  <si>
    <t xml:space="preserve">ФИНАНСИЈСКИ </t>
  </si>
  <si>
    <t>ПЛАН ЗА 2015.</t>
  </si>
  <si>
    <t>Отпремнина за случај отпуштања са посла</t>
  </si>
  <si>
    <t>ФИНАНСИЈСКИ РАСХОДИ</t>
  </si>
  <si>
    <t>Смеће</t>
  </si>
  <si>
    <t>Чистоћа,зеленило и зимска служба</t>
  </si>
  <si>
    <t>Примања чланова  надзорног одбора</t>
  </si>
  <si>
    <t>ФИНАНСИЈСКИ ПЛАН ЗА 2016.</t>
  </si>
  <si>
    <t>Уговори за јавне радове</t>
  </si>
  <si>
    <t>-услуге правног документовања и оверавања</t>
  </si>
  <si>
    <t>- правни савети и заступања</t>
  </si>
  <si>
    <t>ТРОШКОВИ ПО ОСТАЛИМ УГОВОРИМА</t>
  </si>
  <si>
    <t>ТРОШКОВИ РЕЗЕРВИСАЊА</t>
  </si>
  <si>
    <t>ТРОШКОВИ ЗАКУПА</t>
  </si>
  <si>
    <t>ОСТАЛИ РАСХОДИ И ВАНРЕДНИ РАСХ.</t>
  </si>
  <si>
    <t>Производња и дистрибуција воде и друге услуге</t>
  </si>
  <si>
    <t>УКУПНИ ПРИХОДИ</t>
  </si>
  <si>
    <t>УКУПНИ РАСХОДИ</t>
  </si>
  <si>
    <t>Баваниште</t>
  </si>
  <si>
    <t>ПРИХОДИ ОД АКТИВИРАЊА ИЛИ ПОТРОШЊЕ РОБЕ ЗА СОПСТВЕНЕ ПОТРЕБЕ</t>
  </si>
  <si>
    <t xml:space="preserve">                                                                            Драгослав Јеремић, дипл.инж.грађ.</t>
  </si>
  <si>
    <t>Приходи од активирања или потрошње производа и услуга за сопствене потребе</t>
  </si>
  <si>
    <t>Приходи  гробља у Ковину</t>
  </si>
  <si>
    <t>Трошкови премије осигурања и рег.возила</t>
  </si>
  <si>
    <t>II</t>
  </si>
  <si>
    <t>Приходи од активирања или потрошње производа и услуга  за сопствене потребе</t>
  </si>
  <si>
    <t>I</t>
  </si>
  <si>
    <t>Остали порези, накнаде и таксе</t>
  </si>
  <si>
    <t>РЕКАПИТУЛАЦИЈА</t>
  </si>
  <si>
    <t xml:space="preserve">                                                                          Директор</t>
  </si>
  <si>
    <t>Трошк.реклама и пропаганде</t>
  </si>
  <si>
    <t xml:space="preserve">Остали непоменути  расходи </t>
  </si>
  <si>
    <t>Трошкови резервисања (јубиларне награде,отпремнине и судске спорове)</t>
  </si>
  <si>
    <t>Трошкови резервисања</t>
  </si>
  <si>
    <t>Приходи пијаце у Ковину</t>
  </si>
  <si>
    <t>РАЗЛИКА</t>
  </si>
  <si>
    <t>УКУПНО ПРИХОДИ ЗА 2021.ГОД.(  ОД 1 ДО  5 ) :</t>
  </si>
  <si>
    <t>УКУПНО РАСХОДИ ЗА 2021.ГОД. ( ОД 1 ДО 14 ):</t>
  </si>
  <si>
    <t>ПРВА ИЗМЕНА ФИНАНСИЈСКОГ ПЛАНА ЗА 2021.</t>
  </si>
  <si>
    <t>ДОБИТ ЗА 2021.Г. ( I - II ):</t>
  </si>
  <si>
    <t xml:space="preserve"> ОСТВАРЕЊА ПЛАНА СА 30.06.2021.</t>
  </si>
  <si>
    <t>ДАТУМ:26.08.2021.</t>
  </si>
  <si>
    <t xml:space="preserve"> ДРУГА ИЗМЕНА  ФИНАНСИЈСКОГ ПЛАНА ЗA 2021. ГОДИНУ</t>
  </si>
  <si>
    <t>ДРУГА ИЗМЕНА ФИНАНСИЈСКОГ ПЛАНА ЗА 2021.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</si>
</sst>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42">
    <font>
      <sz val="10"/>
      <name val="Arial"/>
      <family val="0"/>
    </font>
    <font>
      <sz val="11"/>
      <name val="Arial"/>
      <family val="2"/>
    </font>
    <font>
      <b/>
      <sz val="10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0" fillId="26" borderId="1" applyNumberFormat="0" applyFon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0" fontId="29" fillId="29" borderId="3" applyNumberFormat="0" applyAlignment="0" applyProtection="0"/>
    <xf numFmtId="0" fontId="30" fillId="29" borderId="4" applyNumberFormat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1" borderId="0" applyNumberFormat="0" applyBorder="0" applyAlignment="0" applyProtection="0"/>
    <xf numFmtId="0" fontId="37" fillId="0" borderId="8" applyNumberFormat="0" applyFill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4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0" fillId="0" borderId="13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0" fontId="5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/>
    </xf>
    <xf numFmtId="49" fontId="7" fillId="33" borderId="10" xfId="0" applyNumberFormat="1" applyFont="1" applyFill="1" applyBorder="1" applyAlignment="1">
      <alignment horizontal="center"/>
    </xf>
    <xf numFmtId="4" fontId="0" fillId="0" borderId="10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4" fillId="33" borderId="15" xfId="0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0" fillId="0" borderId="16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4" fontId="2" fillId="0" borderId="10" xfId="0" applyNumberFormat="1" applyFont="1" applyBorder="1" applyAlignment="1">
      <alignment/>
    </xf>
    <xf numFmtId="4" fontId="2" fillId="0" borderId="10" xfId="0" applyNumberFormat="1" applyFont="1" applyFill="1" applyBorder="1" applyAlignment="1">
      <alignment/>
    </xf>
    <xf numFmtId="4" fontId="2" fillId="0" borderId="16" xfId="0" applyNumberFormat="1" applyFont="1" applyFill="1" applyBorder="1" applyAlignment="1">
      <alignment/>
    </xf>
    <xf numFmtId="49" fontId="7" fillId="33" borderId="10" xfId="0" applyNumberFormat="1" applyFont="1" applyFill="1" applyBorder="1" applyAlignment="1">
      <alignment horizontal="center" wrapText="1"/>
    </xf>
    <xf numFmtId="0" fontId="4" fillId="33" borderId="15" xfId="0" applyFont="1" applyFill="1" applyBorder="1" applyAlignment="1">
      <alignment/>
    </xf>
    <xf numFmtId="49" fontId="4" fillId="33" borderId="10" xfId="0" applyNumberFormat="1" applyFont="1" applyFill="1" applyBorder="1" applyAlignment="1">
      <alignment horizontal="center" wrapText="1"/>
    </xf>
    <xf numFmtId="0" fontId="7" fillId="33" borderId="15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49" fontId="7" fillId="33" borderId="10" xfId="0" applyNumberFormat="1" applyFont="1" applyFill="1" applyBorder="1" applyAlignment="1">
      <alignment horizontal="left"/>
    </xf>
    <xf numFmtId="0" fontId="4" fillId="33" borderId="10" xfId="0" applyFont="1" applyFill="1" applyBorder="1" applyAlignment="1">
      <alignment/>
    </xf>
    <xf numFmtId="0" fontId="4" fillId="34" borderId="15" xfId="0" applyFont="1" applyFill="1" applyBorder="1" applyAlignment="1">
      <alignment horizontal="center"/>
    </xf>
    <xf numFmtId="49" fontId="7" fillId="33" borderId="10" xfId="0" applyNumberFormat="1" applyFont="1" applyFill="1" applyBorder="1" applyAlignment="1">
      <alignment/>
    </xf>
    <xf numFmtId="0" fontId="7" fillId="34" borderId="15" xfId="0" applyFont="1" applyFill="1" applyBorder="1" applyAlignment="1">
      <alignment horizontal="center"/>
    </xf>
    <xf numFmtId="0" fontId="3" fillId="33" borderId="15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49" fontId="7" fillId="0" borderId="10" xfId="0" applyNumberFormat="1" applyFont="1" applyFill="1" applyBorder="1" applyAlignment="1">
      <alignment horizontal="left"/>
    </xf>
    <xf numFmtId="49" fontId="4" fillId="0" borderId="10" xfId="0" applyNumberFormat="1" applyFont="1" applyFill="1" applyBorder="1" applyAlignment="1">
      <alignment/>
    </xf>
    <xf numFmtId="0" fontId="7" fillId="35" borderId="15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4" fontId="7" fillId="0" borderId="10" xfId="0" applyNumberFormat="1" applyFont="1" applyFill="1" applyBorder="1" applyAlignment="1">
      <alignment/>
    </xf>
    <xf numFmtId="0" fontId="7" fillId="35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left"/>
    </xf>
    <xf numFmtId="0" fontId="4" fillId="35" borderId="10" xfId="0" applyFont="1" applyFill="1" applyBorder="1" applyAlignment="1">
      <alignment/>
    </xf>
    <xf numFmtId="4" fontId="4" fillId="33" borderId="10" xfId="0" applyNumberFormat="1" applyFont="1" applyFill="1" applyBorder="1" applyAlignment="1">
      <alignment/>
    </xf>
    <xf numFmtId="0" fontId="7" fillId="35" borderId="15" xfId="0" applyFont="1" applyFill="1" applyBorder="1" applyAlignment="1">
      <alignment horizontal="center"/>
    </xf>
    <xf numFmtId="0" fontId="4" fillId="35" borderId="15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wrapText="1"/>
    </xf>
    <xf numFmtId="0" fontId="4" fillId="35" borderId="15" xfId="0" applyFont="1" applyFill="1" applyBorder="1" applyAlignment="1">
      <alignment/>
    </xf>
    <xf numFmtId="49" fontId="4" fillId="33" borderId="10" xfId="0" applyNumberFormat="1" applyFont="1" applyFill="1" applyBorder="1" applyAlignment="1">
      <alignment horizontal="left"/>
    </xf>
    <xf numFmtId="49" fontId="4" fillId="34" borderId="15" xfId="0" applyNumberFormat="1" applyFont="1" applyFill="1" applyBorder="1" applyAlignment="1">
      <alignment horizontal="center"/>
    </xf>
    <xf numFmtId="49" fontId="4" fillId="34" borderId="10" xfId="0" applyNumberFormat="1" applyFont="1" applyFill="1" applyBorder="1" applyAlignment="1">
      <alignment horizontal="left"/>
    </xf>
    <xf numFmtId="49" fontId="4" fillId="33" borderId="10" xfId="0" applyNumberFormat="1" applyFont="1" applyFill="1" applyBorder="1" applyAlignment="1">
      <alignment horizontal="left" wrapText="1"/>
    </xf>
    <xf numFmtId="4" fontId="2" fillId="0" borderId="13" xfId="0" applyNumberFormat="1" applyFont="1" applyBorder="1" applyAlignment="1">
      <alignment/>
    </xf>
    <xf numFmtId="0" fontId="7" fillId="33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4" fontId="2" fillId="0" borderId="0" xfId="0" applyNumberFormat="1" applyFont="1" applyFill="1" applyBorder="1" applyAlignment="1">
      <alignment/>
    </xf>
    <xf numFmtId="4" fontId="2" fillId="0" borderId="17" xfId="0" applyNumberFormat="1" applyFont="1" applyFill="1" applyBorder="1" applyAlignment="1">
      <alignment/>
    </xf>
    <xf numFmtId="0" fontId="4" fillId="36" borderId="15" xfId="0" applyFont="1" applyFill="1" applyBorder="1" applyAlignment="1">
      <alignment horizontal="center"/>
    </xf>
    <xf numFmtId="49" fontId="4" fillId="36" borderId="10" xfId="0" applyNumberFormat="1" applyFont="1" applyFill="1" applyBorder="1" applyAlignment="1">
      <alignment/>
    </xf>
    <xf numFmtId="0" fontId="0" fillId="37" borderId="10" xfId="0" applyFont="1" applyFill="1" applyBorder="1" applyAlignment="1">
      <alignment/>
    </xf>
    <xf numFmtId="4" fontId="0" fillId="37" borderId="10" xfId="0" applyNumberFormat="1" applyFont="1" applyFill="1" applyBorder="1" applyAlignment="1">
      <alignment/>
    </xf>
    <xf numFmtId="4" fontId="4" fillId="37" borderId="10" xfId="0" applyNumberFormat="1" applyFont="1" applyFill="1" applyBorder="1" applyAlignment="1">
      <alignment/>
    </xf>
    <xf numFmtId="4" fontId="0" fillId="37" borderId="16" xfId="0" applyNumberFormat="1" applyFont="1" applyFill="1" applyBorder="1" applyAlignment="1">
      <alignment/>
    </xf>
    <xf numFmtId="49" fontId="4" fillId="37" borderId="10" xfId="0" applyNumberFormat="1" applyFont="1" applyFill="1" applyBorder="1" applyAlignment="1">
      <alignment/>
    </xf>
    <xf numFmtId="4" fontId="4" fillId="36" borderId="10" xfId="0" applyNumberFormat="1" applyFont="1" applyFill="1" applyBorder="1" applyAlignment="1">
      <alignment/>
    </xf>
    <xf numFmtId="4" fontId="4" fillId="37" borderId="10" xfId="0" applyNumberFormat="1" applyFont="1" applyFill="1" applyBorder="1" applyAlignment="1">
      <alignment/>
    </xf>
    <xf numFmtId="0" fontId="4" fillId="37" borderId="15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7" fillId="33" borderId="18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7" fillId="33" borderId="15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49" fontId="4" fillId="33" borderId="15" xfId="0" applyNumberFormat="1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 horizontal="center"/>
    </xf>
    <xf numFmtId="0" fontId="7" fillId="33" borderId="15" xfId="0" applyFont="1" applyFill="1" applyBorder="1" applyAlignment="1">
      <alignment horizontal="left"/>
    </xf>
    <xf numFmtId="0" fontId="7" fillId="33" borderId="10" xfId="0" applyFont="1" applyFill="1" applyBorder="1" applyAlignment="1">
      <alignment horizontal="left"/>
    </xf>
    <xf numFmtId="0" fontId="3" fillId="34" borderId="15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</cellXfs>
  <cellStyles count="47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Izlaz" xfId="42"/>
    <cellStyle name="Izračunavanje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ovezana ćelija" xfId="51"/>
    <cellStyle name="Percent" xfId="52"/>
    <cellStyle name="Tekst objašnjenja" xfId="53"/>
    <cellStyle name="Tekst upozorenja" xfId="54"/>
    <cellStyle name="Ukupno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Q185"/>
  <sheetViews>
    <sheetView tabSelected="1" zoomScalePageLayoutView="0" workbookViewId="0" topLeftCell="A1">
      <selection activeCell="Q31" sqref="Q31"/>
    </sheetView>
  </sheetViews>
  <sheetFormatPr defaultColWidth="9.140625" defaultRowHeight="12.75"/>
  <cols>
    <col min="1" max="1" width="4.8515625" style="0" customWidth="1"/>
    <col min="2" max="2" width="44.7109375" style="0" customWidth="1"/>
    <col min="3" max="4" width="9.140625" style="0" hidden="1" customWidth="1"/>
    <col min="5" max="5" width="0.13671875" style="0" hidden="1" customWidth="1"/>
    <col min="6" max="6" width="9.140625" style="0" hidden="1" customWidth="1"/>
    <col min="7" max="7" width="0.13671875" style="0" hidden="1" customWidth="1"/>
    <col min="8" max="9" width="0.2890625" style="0" hidden="1" customWidth="1"/>
    <col min="10" max="10" width="19.140625" style="0" customWidth="1"/>
    <col min="11" max="11" width="16.421875" style="0" customWidth="1"/>
    <col min="12" max="12" width="18.421875" style="0" customWidth="1"/>
    <col min="13" max="13" width="13.7109375" style="0" customWidth="1"/>
    <col min="14" max="14" width="16.421875" style="0" bestFit="1" customWidth="1"/>
    <col min="15" max="15" width="13.8515625" style="0" bestFit="1" customWidth="1"/>
    <col min="16" max="16" width="12.7109375" style="0" bestFit="1" customWidth="1"/>
    <col min="17" max="17" width="11.7109375" style="0" bestFit="1" customWidth="1"/>
  </cols>
  <sheetData>
    <row r="1" spans="1:13" ht="12.75">
      <c r="A1" s="84" t="s">
        <v>3</v>
      </c>
      <c r="B1" s="8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13.5" thickBot="1">
      <c r="A2" s="84" t="s">
        <v>153</v>
      </c>
      <c r="B2" s="8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3.5" thickBot="1">
      <c r="A3" s="97" t="s">
        <v>154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9"/>
    </row>
    <row r="4" spans="1:13" ht="15" customHeight="1">
      <c r="A4" s="85" t="s">
        <v>74</v>
      </c>
      <c r="B4" s="86"/>
      <c r="C4" s="7"/>
      <c r="D4" s="7"/>
      <c r="E4" s="7"/>
      <c r="F4" s="7"/>
      <c r="G4" s="8"/>
      <c r="H4" s="91" t="s">
        <v>119</v>
      </c>
      <c r="I4" s="9"/>
      <c r="J4" s="91" t="s">
        <v>150</v>
      </c>
      <c r="K4" s="91" t="s">
        <v>152</v>
      </c>
      <c r="L4" s="91" t="s">
        <v>155</v>
      </c>
      <c r="M4" s="94" t="s">
        <v>147</v>
      </c>
    </row>
    <row r="5" spans="1:13" ht="12.75">
      <c r="A5" s="87"/>
      <c r="B5" s="88"/>
      <c r="C5" s="10"/>
      <c r="D5" s="10"/>
      <c r="E5" s="11" t="s">
        <v>92</v>
      </c>
      <c r="F5" s="3" t="s">
        <v>2</v>
      </c>
      <c r="G5" s="12" t="s">
        <v>112</v>
      </c>
      <c r="H5" s="92"/>
      <c r="I5" s="13"/>
      <c r="J5" s="92"/>
      <c r="K5" s="92"/>
      <c r="L5" s="92"/>
      <c r="M5" s="95"/>
    </row>
    <row r="6" spans="1:13" ht="30" customHeight="1" thickBot="1">
      <c r="A6" s="89"/>
      <c r="B6" s="90"/>
      <c r="C6" s="14"/>
      <c r="D6" s="14"/>
      <c r="E6" s="15" t="s">
        <v>93</v>
      </c>
      <c r="F6" s="16" t="s">
        <v>91</v>
      </c>
      <c r="G6" s="17" t="s">
        <v>113</v>
      </c>
      <c r="H6" s="93"/>
      <c r="I6" s="18"/>
      <c r="J6" s="93"/>
      <c r="K6" s="93"/>
      <c r="L6" s="93"/>
      <c r="M6" s="96"/>
    </row>
    <row r="7" spans="1:13" ht="12.75">
      <c r="A7" s="5">
        <v>1</v>
      </c>
      <c r="B7" s="6">
        <v>2</v>
      </c>
      <c r="C7" s="19"/>
      <c r="D7" s="19"/>
      <c r="E7" s="20">
        <v>3</v>
      </c>
      <c r="F7" s="21">
        <v>4</v>
      </c>
      <c r="G7" s="22">
        <v>3</v>
      </c>
      <c r="H7" s="22">
        <v>3</v>
      </c>
      <c r="I7" s="22"/>
      <c r="J7" s="23">
        <v>3</v>
      </c>
      <c r="K7" s="23">
        <v>5</v>
      </c>
      <c r="L7" s="23">
        <v>3</v>
      </c>
      <c r="M7" s="24">
        <v>4</v>
      </c>
    </row>
    <row r="8" spans="1:13" ht="12.75">
      <c r="A8" s="25">
        <v>1</v>
      </c>
      <c r="B8" s="26" t="s">
        <v>4</v>
      </c>
      <c r="C8" s="10"/>
      <c r="D8" s="10"/>
      <c r="E8" s="10"/>
      <c r="F8" s="10"/>
      <c r="G8" s="27"/>
      <c r="H8" s="10"/>
      <c r="I8" s="10"/>
      <c r="J8" s="10"/>
      <c r="K8" s="10"/>
      <c r="L8" s="10"/>
      <c r="M8" s="28"/>
    </row>
    <row r="9" spans="1:13" ht="12.75">
      <c r="A9" s="74">
        <v>1</v>
      </c>
      <c r="B9" s="75" t="s">
        <v>5</v>
      </c>
      <c r="C9" s="76"/>
      <c r="D9" s="76"/>
      <c r="E9" s="77">
        <v>1600000</v>
      </c>
      <c r="F9" s="82">
        <v>1400000</v>
      </c>
      <c r="G9" s="77">
        <v>1000000</v>
      </c>
      <c r="H9" s="77">
        <v>800000</v>
      </c>
      <c r="I9" s="77"/>
      <c r="J9" s="77">
        <v>4000000</v>
      </c>
      <c r="K9" s="77">
        <v>3113798.25</v>
      </c>
      <c r="L9" s="77">
        <v>5500000</v>
      </c>
      <c r="M9" s="79">
        <f>L9-J9</f>
        <v>1500000</v>
      </c>
    </row>
    <row r="10" spans="1:13" ht="12.75">
      <c r="A10" s="74">
        <v>2</v>
      </c>
      <c r="B10" s="75" t="s">
        <v>6</v>
      </c>
      <c r="C10" s="76"/>
      <c r="D10" s="76"/>
      <c r="E10" s="77">
        <v>1800000</v>
      </c>
      <c r="F10" s="78">
        <v>1800000</v>
      </c>
      <c r="G10" s="77">
        <v>2000000</v>
      </c>
      <c r="H10" s="77">
        <v>2300000</v>
      </c>
      <c r="I10" s="77"/>
      <c r="J10" s="77">
        <v>2100000</v>
      </c>
      <c r="K10" s="77">
        <v>1356886.89</v>
      </c>
      <c r="L10" s="77">
        <v>2600000</v>
      </c>
      <c r="M10" s="79">
        <f aca="true" t="shared" si="0" ref="M10:M73">L10-J10</f>
        <v>500000</v>
      </c>
    </row>
    <row r="11" spans="1:13" ht="12.75">
      <c r="A11" s="104" t="s">
        <v>7</v>
      </c>
      <c r="B11" s="105"/>
      <c r="C11" s="10"/>
      <c r="D11" s="10"/>
      <c r="E11" s="35">
        <f>SUM(E9:E10)</f>
        <v>3400000</v>
      </c>
      <c r="F11" s="35">
        <f>SUM(F9:F10)</f>
        <v>3200000</v>
      </c>
      <c r="G11" s="35">
        <f>SUM(G9:G10)</f>
        <v>3000000</v>
      </c>
      <c r="H11" s="35">
        <f>SUM(H9:H10)</f>
        <v>3100000</v>
      </c>
      <c r="I11" s="35"/>
      <c r="J11" s="36">
        <f>SUM(J9:J10)</f>
        <v>6100000</v>
      </c>
      <c r="K11" s="36">
        <f>SUM(K9:K10)</f>
        <v>4470685.14</v>
      </c>
      <c r="L11" s="36">
        <f>SUM(L9:L10)</f>
        <v>8100000</v>
      </c>
      <c r="M11" s="37">
        <f t="shared" si="0"/>
        <v>2000000</v>
      </c>
    </row>
    <row r="12" spans="1:13" ht="32.25" customHeight="1">
      <c r="A12" s="25">
        <v>2</v>
      </c>
      <c r="B12" s="38" t="s">
        <v>131</v>
      </c>
      <c r="C12" s="10"/>
      <c r="D12" s="10"/>
      <c r="E12" s="35"/>
      <c r="F12" s="35"/>
      <c r="G12" s="35"/>
      <c r="H12" s="35"/>
      <c r="I12" s="35"/>
      <c r="J12" s="27"/>
      <c r="K12" s="32"/>
      <c r="L12" s="27"/>
      <c r="M12" s="33"/>
    </row>
    <row r="13" spans="1:13" ht="31.5" customHeight="1">
      <c r="A13" s="39">
        <v>1</v>
      </c>
      <c r="B13" s="40" t="s">
        <v>133</v>
      </c>
      <c r="C13" s="10"/>
      <c r="D13" s="10"/>
      <c r="E13" s="35"/>
      <c r="F13" s="35"/>
      <c r="G13" s="35"/>
      <c r="H13" s="35"/>
      <c r="I13" s="35"/>
      <c r="J13" s="32">
        <v>1500000</v>
      </c>
      <c r="K13" s="32">
        <v>0</v>
      </c>
      <c r="L13" s="32">
        <v>1500000</v>
      </c>
      <c r="M13" s="33">
        <f t="shared" si="0"/>
        <v>0</v>
      </c>
    </row>
    <row r="14" spans="1:13" ht="18" customHeight="1">
      <c r="A14" s="104" t="s">
        <v>30</v>
      </c>
      <c r="B14" s="105"/>
      <c r="C14" s="10"/>
      <c r="D14" s="10"/>
      <c r="E14" s="35"/>
      <c r="F14" s="35"/>
      <c r="G14" s="35"/>
      <c r="H14" s="35"/>
      <c r="I14" s="35"/>
      <c r="J14" s="36">
        <f>J13</f>
        <v>1500000</v>
      </c>
      <c r="K14" s="36">
        <f>K13</f>
        <v>0</v>
      </c>
      <c r="L14" s="36">
        <f>L13</f>
        <v>1500000</v>
      </c>
      <c r="M14" s="37">
        <f t="shared" si="0"/>
        <v>0</v>
      </c>
    </row>
    <row r="15" spans="1:13" ht="12.75">
      <c r="A15" s="25">
        <v>3</v>
      </c>
      <c r="B15" s="26" t="s">
        <v>8</v>
      </c>
      <c r="C15" s="10"/>
      <c r="D15" s="10"/>
      <c r="E15" s="27"/>
      <c r="F15" s="10"/>
      <c r="G15" s="27"/>
      <c r="H15" s="27"/>
      <c r="I15" s="27"/>
      <c r="J15" s="27"/>
      <c r="K15" s="32"/>
      <c r="L15" s="27"/>
      <c r="M15" s="33"/>
    </row>
    <row r="16" spans="1:13" ht="12.75">
      <c r="A16" s="106" t="s">
        <v>127</v>
      </c>
      <c r="B16" s="107"/>
      <c r="C16" s="10"/>
      <c r="D16" s="10"/>
      <c r="E16" s="27"/>
      <c r="F16" s="10"/>
      <c r="G16" s="27"/>
      <c r="H16" s="27"/>
      <c r="I16" s="27"/>
      <c r="J16" s="27"/>
      <c r="K16" s="32"/>
      <c r="L16" s="27"/>
      <c r="M16" s="33"/>
    </row>
    <row r="17" spans="1:13" ht="12.75">
      <c r="A17" s="29">
        <v>1</v>
      </c>
      <c r="B17" s="30" t="s">
        <v>9</v>
      </c>
      <c r="C17" s="10"/>
      <c r="D17" s="10"/>
      <c r="E17" s="27">
        <v>29000000</v>
      </c>
      <c r="F17" s="27">
        <v>29000000</v>
      </c>
      <c r="G17" s="27">
        <v>48000000</v>
      </c>
      <c r="H17" s="27">
        <v>48500000</v>
      </c>
      <c r="I17" s="27"/>
      <c r="J17" s="27">
        <v>45000000</v>
      </c>
      <c r="K17" s="32">
        <f>3750930.9+3081.04+12340974.1-147816.44+173680.17</f>
        <v>16120849.77</v>
      </c>
      <c r="L17" s="27">
        <v>45000000</v>
      </c>
      <c r="M17" s="33">
        <f t="shared" si="0"/>
        <v>0</v>
      </c>
    </row>
    <row r="18" spans="1:13" ht="12.75">
      <c r="A18" s="29">
        <v>2</v>
      </c>
      <c r="B18" s="30" t="s">
        <v>10</v>
      </c>
      <c r="C18" s="10"/>
      <c r="D18" s="10"/>
      <c r="E18" s="27">
        <v>4000000</v>
      </c>
      <c r="F18" s="27">
        <v>4000000</v>
      </c>
      <c r="G18" s="27">
        <v>6000000</v>
      </c>
      <c r="H18" s="27">
        <v>6000000</v>
      </c>
      <c r="I18" s="27"/>
      <c r="J18" s="32">
        <v>5500000</v>
      </c>
      <c r="K18" s="32">
        <f>2225396.08+31904.98</f>
        <v>2257301.06</v>
      </c>
      <c r="L18" s="32">
        <v>5500000</v>
      </c>
      <c r="M18" s="33">
        <f t="shared" si="0"/>
        <v>0</v>
      </c>
    </row>
    <row r="19" spans="1:13" ht="12.75">
      <c r="A19" s="29">
        <v>3</v>
      </c>
      <c r="B19" s="30" t="s">
        <v>11</v>
      </c>
      <c r="C19" s="10"/>
      <c r="D19" s="10"/>
      <c r="E19" s="27">
        <v>4400000</v>
      </c>
      <c r="F19" s="27">
        <v>4400000</v>
      </c>
      <c r="G19" s="27">
        <v>7500000</v>
      </c>
      <c r="H19" s="27">
        <v>7500000</v>
      </c>
      <c r="I19" s="27"/>
      <c r="J19" s="32">
        <v>6700000</v>
      </c>
      <c r="K19" s="32">
        <f>2563626.38+102849.98</f>
        <v>2666476.36</v>
      </c>
      <c r="L19" s="32">
        <v>6700000</v>
      </c>
      <c r="M19" s="33">
        <f t="shared" si="0"/>
        <v>0</v>
      </c>
    </row>
    <row r="20" spans="1:13" ht="12.75">
      <c r="A20" s="29">
        <v>4</v>
      </c>
      <c r="B20" s="30" t="s">
        <v>12</v>
      </c>
      <c r="C20" s="10"/>
      <c r="D20" s="10"/>
      <c r="E20" s="27">
        <v>6000000</v>
      </c>
      <c r="F20" s="27">
        <v>6000000</v>
      </c>
      <c r="G20" s="27">
        <v>9800000</v>
      </c>
      <c r="H20" s="27">
        <v>10000000</v>
      </c>
      <c r="I20" s="27"/>
      <c r="J20" s="32">
        <v>8700000</v>
      </c>
      <c r="K20" s="32">
        <f>2123505.47+1207889.3</f>
        <v>3331394.7700000005</v>
      </c>
      <c r="L20" s="32">
        <v>8700000</v>
      </c>
      <c r="M20" s="33">
        <f t="shared" si="0"/>
        <v>0</v>
      </c>
    </row>
    <row r="21" spans="1:13" ht="12.75">
      <c r="A21" s="29">
        <v>5</v>
      </c>
      <c r="B21" s="30" t="s">
        <v>13</v>
      </c>
      <c r="C21" s="10"/>
      <c r="D21" s="10"/>
      <c r="E21" s="27">
        <v>2800000</v>
      </c>
      <c r="F21" s="27">
        <v>2800000</v>
      </c>
      <c r="G21" s="27">
        <v>5500000</v>
      </c>
      <c r="H21" s="27">
        <v>5200000</v>
      </c>
      <c r="I21" s="27"/>
      <c r="J21" s="32">
        <v>5000000</v>
      </c>
      <c r="K21" s="32">
        <f>1550463.64+92228.5</f>
        <v>1642692.14</v>
      </c>
      <c r="L21" s="32">
        <v>5000000</v>
      </c>
      <c r="M21" s="33">
        <f t="shared" si="0"/>
        <v>0</v>
      </c>
    </row>
    <row r="22" spans="1:13" ht="12.75">
      <c r="A22" s="29">
        <v>6</v>
      </c>
      <c r="B22" s="30" t="s">
        <v>14</v>
      </c>
      <c r="C22" s="10"/>
      <c r="D22" s="10"/>
      <c r="E22" s="27">
        <v>3600000</v>
      </c>
      <c r="F22" s="27">
        <v>3600000</v>
      </c>
      <c r="G22" s="27">
        <v>5000000</v>
      </c>
      <c r="H22" s="27">
        <v>5100000</v>
      </c>
      <c r="I22" s="27"/>
      <c r="J22" s="32">
        <v>3300000</v>
      </c>
      <c r="K22" s="32">
        <f>713991.28+19053.8</f>
        <v>733045.0800000001</v>
      </c>
      <c r="L22" s="32">
        <v>3300000</v>
      </c>
      <c r="M22" s="33">
        <f t="shared" si="0"/>
        <v>0</v>
      </c>
    </row>
    <row r="23" spans="1:13" ht="12.75">
      <c r="A23" s="29">
        <v>7</v>
      </c>
      <c r="B23" s="30" t="s">
        <v>15</v>
      </c>
      <c r="C23" s="10"/>
      <c r="D23" s="10"/>
      <c r="E23" s="27">
        <v>650000</v>
      </c>
      <c r="F23" s="27">
        <v>650000</v>
      </c>
      <c r="G23" s="27">
        <v>900000</v>
      </c>
      <c r="H23" s="27">
        <v>950000</v>
      </c>
      <c r="I23" s="27"/>
      <c r="J23" s="32">
        <v>600000</v>
      </c>
      <c r="K23" s="32">
        <f>138079.24+93566.32</f>
        <v>231645.56</v>
      </c>
      <c r="L23" s="32">
        <v>600000</v>
      </c>
      <c r="M23" s="33">
        <f t="shared" si="0"/>
        <v>0</v>
      </c>
    </row>
    <row r="24" spans="1:13" ht="12.75">
      <c r="A24" s="29">
        <v>8</v>
      </c>
      <c r="B24" s="30" t="s">
        <v>16</v>
      </c>
      <c r="C24" s="10"/>
      <c r="D24" s="10"/>
      <c r="E24" s="27">
        <v>500000</v>
      </c>
      <c r="F24" s="27">
        <v>500000</v>
      </c>
      <c r="G24" s="27">
        <v>650000</v>
      </c>
      <c r="H24" s="27">
        <v>800000</v>
      </c>
      <c r="I24" s="27"/>
      <c r="J24" s="32">
        <v>800000</v>
      </c>
      <c r="K24" s="32">
        <f>206470.22+162.16</f>
        <v>206632.38</v>
      </c>
      <c r="L24" s="32">
        <v>800000</v>
      </c>
      <c r="M24" s="33">
        <f t="shared" si="0"/>
        <v>0</v>
      </c>
    </row>
    <row r="25" spans="1:13" ht="12.75">
      <c r="A25" s="29">
        <v>9</v>
      </c>
      <c r="B25" s="30" t="s">
        <v>17</v>
      </c>
      <c r="C25" s="10"/>
      <c r="D25" s="10"/>
      <c r="E25" s="27">
        <v>1771000</v>
      </c>
      <c r="F25" s="27">
        <v>1771000</v>
      </c>
      <c r="G25" s="27">
        <v>2400000</v>
      </c>
      <c r="H25" s="27">
        <v>2400000</v>
      </c>
      <c r="I25" s="27"/>
      <c r="J25" s="32">
        <v>2200000</v>
      </c>
      <c r="K25" s="32">
        <f>912412.84+15810.6</f>
        <v>928223.44</v>
      </c>
      <c r="L25" s="32">
        <v>2200000</v>
      </c>
      <c r="M25" s="33">
        <f t="shared" si="0"/>
        <v>0</v>
      </c>
    </row>
    <row r="26" spans="1:13" ht="12.75">
      <c r="A26" s="29">
        <v>10</v>
      </c>
      <c r="B26" s="30" t="s">
        <v>130</v>
      </c>
      <c r="C26" s="10"/>
      <c r="D26" s="10"/>
      <c r="E26" s="27"/>
      <c r="F26" s="27"/>
      <c r="G26" s="27"/>
      <c r="H26" s="27"/>
      <c r="I26" s="27"/>
      <c r="J26" s="32">
        <v>5000000</v>
      </c>
      <c r="K26" s="32">
        <f>1786035.79+27176.88</f>
        <v>1813212.67</v>
      </c>
      <c r="L26" s="32">
        <v>5000000</v>
      </c>
      <c r="M26" s="33">
        <f t="shared" si="0"/>
        <v>0</v>
      </c>
    </row>
    <row r="27" spans="1:13" ht="12.75">
      <c r="A27" s="29">
        <v>11</v>
      </c>
      <c r="B27" s="30" t="s">
        <v>18</v>
      </c>
      <c r="C27" s="10"/>
      <c r="D27" s="10"/>
      <c r="E27" s="27">
        <v>16500000</v>
      </c>
      <c r="F27" s="31">
        <v>16500000</v>
      </c>
      <c r="G27" s="27">
        <v>23500000</v>
      </c>
      <c r="H27" s="27">
        <v>23600000</v>
      </c>
      <c r="I27" s="27"/>
      <c r="J27" s="32">
        <v>23000000</v>
      </c>
      <c r="K27" s="32">
        <f>5341966.48+3496046.14+120718.27+218762.86</f>
        <v>9177493.75</v>
      </c>
      <c r="L27" s="32">
        <v>23000000</v>
      </c>
      <c r="M27" s="33">
        <f t="shared" si="0"/>
        <v>0</v>
      </c>
    </row>
    <row r="28" spans="1:13" ht="12.75">
      <c r="A28" s="74">
        <v>12</v>
      </c>
      <c r="B28" s="75" t="s">
        <v>116</v>
      </c>
      <c r="C28" s="76"/>
      <c r="D28" s="76"/>
      <c r="E28" s="77">
        <v>47000000</v>
      </c>
      <c r="F28" s="82">
        <v>45000000</v>
      </c>
      <c r="G28" s="77">
        <v>46000000</v>
      </c>
      <c r="H28" s="77">
        <v>48000000</v>
      </c>
      <c r="I28" s="77"/>
      <c r="J28" s="77">
        <v>56500000</v>
      </c>
      <c r="K28" s="77">
        <f>15124505.42+11184214.07+3023034.02</f>
        <v>29331753.51</v>
      </c>
      <c r="L28" s="77">
        <v>57000000</v>
      </c>
      <c r="M28" s="79">
        <f t="shared" si="0"/>
        <v>500000</v>
      </c>
    </row>
    <row r="29" spans="1:16" ht="12.75">
      <c r="A29" s="29">
        <v>13</v>
      </c>
      <c r="B29" s="30" t="s">
        <v>117</v>
      </c>
      <c r="C29" s="10"/>
      <c r="D29" s="10"/>
      <c r="E29" s="27"/>
      <c r="F29" s="31"/>
      <c r="G29" s="27">
        <v>14000000</v>
      </c>
      <c r="H29" s="32">
        <v>10000000</v>
      </c>
      <c r="I29" s="32"/>
      <c r="J29" s="32">
        <v>15000000</v>
      </c>
      <c r="K29" s="32">
        <v>8449779.44</v>
      </c>
      <c r="L29" s="32">
        <v>15000000</v>
      </c>
      <c r="M29" s="33">
        <f t="shared" si="0"/>
        <v>0</v>
      </c>
      <c r="N29" s="1"/>
      <c r="O29" s="1"/>
      <c r="P29" s="1"/>
    </row>
    <row r="30" spans="1:16" ht="12.75">
      <c r="A30" s="29">
        <v>14</v>
      </c>
      <c r="B30" s="30" t="s">
        <v>104</v>
      </c>
      <c r="C30" s="10"/>
      <c r="D30" s="10"/>
      <c r="E30" s="27"/>
      <c r="F30" s="31"/>
      <c r="G30" s="27">
        <v>8700000</v>
      </c>
      <c r="H30" s="32">
        <v>7500000</v>
      </c>
      <c r="I30" s="32"/>
      <c r="J30" s="32">
        <v>10500000</v>
      </c>
      <c r="K30" s="32">
        <v>6995346.3</v>
      </c>
      <c r="L30" s="32">
        <v>10500000</v>
      </c>
      <c r="M30" s="33">
        <f t="shared" si="0"/>
        <v>0</v>
      </c>
      <c r="N30" s="1"/>
      <c r="O30" s="1"/>
      <c r="P30" s="1"/>
    </row>
    <row r="31" spans="1:16" ht="12.75">
      <c r="A31" s="29">
        <v>15</v>
      </c>
      <c r="B31" s="30" t="s">
        <v>19</v>
      </c>
      <c r="C31" s="10"/>
      <c r="D31" s="10"/>
      <c r="E31" s="27">
        <v>120000</v>
      </c>
      <c r="F31" s="31">
        <v>120000</v>
      </c>
      <c r="G31" s="27">
        <v>200000</v>
      </c>
      <c r="H31" s="32">
        <v>200000</v>
      </c>
      <c r="I31" s="32"/>
      <c r="J31" s="27">
        <v>20000</v>
      </c>
      <c r="K31" s="32">
        <v>0</v>
      </c>
      <c r="L31" s="27">
        <v>20000</v>
      </c>
      <c r="M31" s="33">
        <f t="shared" si="0"/>
        <v>0</v>
      </c>
      <c r="N31" s="1"/>
      <c r="O31" s="1"/>
      <c r="P31" s="1"/>
    </row>
    <row r="32" spans="1:16" ht="12.75">
      <c r="A32" s="29">
        <v>16</v>
      </c>
      <c r="B32" s="30" t="s">
        <v>146</v>
      </c>
      <c r="C32" s="10"/>
      <c r="D32" s="10"/>
      <c r="E32" s="27">
        <v>5309700</v>
      </c>
      <c r="F32" s="31">
        <v>4500000</v>
      </c>
      <c r="G32" s="27">
        <v>5900000</v>
      </c>
      <c r="H32" s="32">
        <v>6200000</v>
      </c>
      <c r="I32" s="32"/>
      <c r="J32" s="27">
        <v>5000000</v>
      </c>
      <c r="K32" s="32">
        <f>1124050.45+1361918.68</f>
        <v>2485969.13</v>
      </c>
      <c r="L32" s="27">
        <v>5000000</v>
      </c>
      <c r="M32" s="33">
        <f t="shared" si="0"/>
        <v>0</v>
      </c>
      <c r="N32" s="1"/>
      <c r="O32" s="1"/>
      <c r="P32" s="1"/>
    </row>
    <row r="33" spans="1:16" ht="12.75">
      <c r="A33" s="29">
        <v>17</v>
      </c>
      <c r="B33" s="30" t="s">
        <v>134</v>
      </c>
      <c r="C33" s="10"/>
      <c r="D33" s="10"/>
      <c r="E33" s="27">
        <v>4700000</v>
      </c>
      <c r="F33" s="31">
        <v>4400000</v>
      </c>
      <c r="G33" s="27">
        <v>7200000</v>
      </c>
      <c r="H33" s="32">
        <v>7500000</v>
      </c>
      <c r="I33" s="32"/>
      <c r="J33" s="27">
        <v>9800000</v>
      </c>
      <c r="K33" s="32">
        <v>6545852.41</v>
      </c>
      <c r="L33" s="27">
        <v>9800000</v>
      </c>
      <c r="M33" s="33">
        <f t="shared" si="0"/>
        <v>0</v>
      </c>
      <c r="N33" s="1"/>
      <c r="O33" s="1"/>
      <c r="P33" s="1"/>
    </row>
    <row r="34" spans="1:16" ht="12.75">
      <c r="A34" s="74">
        <v>18</v>
      </c>
      <c r="B34" s="75" t="s">
        <v>20</v>
      </c>
      <c r="C34" s="76"/>
      <c r="D34" s="76"/>
      <c r="E34" s="77">
        <v>20000000</v>
      </c>
      <c r="F34" s="82">
        <v>17500000</v>
      </c>
      <c r="G34" s="77">
        <v>25000000</v>
      </c>
      <c r="H34" s="77">
        <v>20000000</v>
      </c>
      <c r="I34" s="77"/>
      <c r="J34" s="77">
        <v>36000000</v>
      </c>
      <c r="K34" s="77">
        <f>9347019.85+1994840.73+2735667.44</f>
        <v>14077528.02</v>
      </c>
      <c r="L34" s="77">
        <v>42000000</v>
      </c>
      <c r="M34" s="79">
        <f t="shared" si="0"/>
        <v>6000000</v>
      </c>
      <c r="N34" s="1"/>
      <c r="O34" s="1"/>
      <c r="P34" s="1"/>
    </row>
    <row r="35" spans="1:16" ht="12.75">
      <c r="A35" s="29">
        <v>19</v>
      </c>
      <c r="B35" s="30" t="s">
        <v>21</v>
      </c>
      <c r="C35" s="10"/>
      <c r="D35" s="10"/>
      <c r="E35" s="27">
        <v>3564000</v>
      </c>
      <c r="F35" s="31">
        <v>3600000</v>
      </c>
      <c r="G35" s="27">
        <v>4100000</v>
      </c>
      <c r="H35" s="32">
        <v>3800000</v>
      </c>
      <c r="I35" s="32"/>
      <c r="J35" s="27">
        <v>500000</v>
      </c>
      <c r="K35" s="32">
        <v>57945.51</v>
      </c>
      <c r="L35" s="27">
        <v>500000</v>
      </c>
      <c r="M35" s="33">
        <f t="shared" si="0"/>
        <v>0</v>
      </c>
      <c r="N35" s="1"/>
      <c r="O35" s="1"/>
      <c r="P35" s="1"/>
    </row>
    <row r="36" spans="1:16" ht="12.75">
      <c r="A36" s="29">
        <v>20</v>
      </c>
      <c r="B36" s="30" t="s">
        <v>22</v>
      </c>
      <c r="C36" s="10"/>
      <c r="D36" s="10"/>
      <c r="E36" s="27">
        <v>3600000</v>
      </c>
      <c r="F36" s="31">
        <v>3600000</v>
      </c>
      <c r="G36" s="27">
        <v>2800000</v>
      </c>
      <c r="H36" s="32">
        <v>2000000</v>
      </c>
      <c r="I36" s="32"/>
      <c r="J36" s="27">
        <v>1000000</v>
      </c>
      <c r="K36" s="32">
        <f>103159.17+333750</f>
        <v>436909.17</v>
      </c>
      <c r="L36" s="27">
        <v>1000000</v>
      </c>
      <c r="M36" s="33">
        <f t="shared" si="0"/>
        <v>0</v>
      </c>
      <c r="N36" s="1"/>
      <c r="O36" s="1"/>
      <c r="P36" s="1"/>
    </row>
    <row r="37" spans="1:16" ht="12.75">
      <c r="A37" s="29">
        <v>21</v>
      </c>
      <c r="B37" s="30" t="s">
        <v>103</v>
      </c>
      <c r="C37" s="10"/>
      <c r="D37" s="10"/>
      <c r="E37" s="27"/>
      <c r="F37" s="31"/>
      <c r="G37" s="27">
        <v>8300000</v>
      </c>
      <c r="H37" s="32">
        <v>8700000</v>
      </c>
      <c r="I37" s="32"/>
      <c r="J37" s="27">
        <v>8900000</v>
      </c>
      <c r="K37" s="32">
        <f>4150560+317040</f>
        <v>4467600</v>
      </c>
      <c r="L37" s="27">
        <v>8900000</v>
      </c>
      <c r="M37" s="33">
        <f t="shared" si="0"/>
        <v>0</v>
      </c>
      <c r="N37" s="1"/>
      <c r="O37" s="1"/>
      <c r="P37" s="1"/>
    </row>
    <row r="38" spans="1:16" ht="12.75">
      <c r="A38" s="29">
        <v>22</v>
      </c>
      <c r="B38" s="30" t="s">
        <v>110</v>
      </c>
      <c r="C38" s="10"/>
      <c r="D38" s="10"/>
      <c r="E38" s="27"/>
      <c r="F38" s="31"/>
      <c r="G38" s="27">
        <v>2015000</v>
      </c>
      <c r="H38" s="32">
        <v>1200000</v>
      </c>
      <c r="I38" s="32"/>
      <c r="J38" s="27">
        <v>4500000</v>
      </c>
      <c r="K38" s="32">
        <v>1885494.67</v>
      </c>
      <c r="L38" s="27">
        <v>4500000</v>
      </c>
      <c r="M38" s="33">
        <f t="shared" si="0"/>
        <v>0</v>
      </c>
      <c r="N38" s="1"/>
      <c r="O38" s="1"/>
      <c r="P38" s="1"/>
    </row>
    <row r="39" spans="1:16" ht="12.75">
      <c r="A39" s="29">
        <v>23</v>
      </c>
      <c r="B39" s="30" t="s">
        <v>111</v>
      </c>
      <c r="C39" s="10"/>
      <c r="D39" s="10"/>
      <c r="E39" s="27"/>
      <c r="F39" s="31"/>
      <c r="G39" s="27">
        <v>2800000</v>
      </c>
      <c r="H39" s="32">
        <v>1700000</v>
      </c>
      <c r="I39" s="32"/>
      <c r="J39" s="27">
        <v>1370000</v>
      </c>
      <c r="K39" s="32">
        <v>319800</v>
      </c>
      <c r="L39" s="27">
        <v>1370000</v>
      </c>
      <c r="M39" s="33">
        <f t="shared" si="0"/>
        <v>0</v>
      </c>
      <c r="N39" s="1"/>
      <c r="O39" s="1"/>
      <c r="P39" s="1"/>
    </row>
    <row r="40" spans="1:16" ht="12.75">
      <c r="A40" s="41" t="s">
        <v>23</v>
      </c>
      <c r="B40" s="42"/>
      <c r="C40" s="10"/>
      <c r="D40" s="10"/>
      <c r="E40" s="35">
        <f>SUM(E17:E36)</f>
        <v>153514700</v>
      </c>
      <c r="F40" s="35">
        <f>SUM(F17:F36)</f>
        <v>147941000</v>
      </c>
      <c r="G40" s="35">
        <f>SUM(G17:G39)</f>
        <v>236265000</v>
      </c>
      <c r="H40" s="35">
        <f>SUM(H17:H39)</f>
        <v>226850000</v>
      </c>
      <c r="I40" s="35"/>
      <c r="J40" s="36">
        <f>SUM(J17:J39)</f>
        <v>254890000</v>
      </c>
      <c r="K40" s="36">
        <f>SUM(K17:K39)</f>
        <v>114162945.13999999</v>
      </c>
      <c r="L40" s="36">
        <f>SUM(L17:L39)</f>
        <v>261390000</v>
      </c>
      <c r="M40" s="37">
        <f t="shared" si="0"/>
        <v>6500000</v>
      </c>
      <c r="N40" s="1"/>
      <c r="P40" s="1"/>
    </row>
    <row r="41" spans="1:14" ht="12.75">
      <c r="A41" s="25">
        <v>4</v>
      </c>
      <c r="B41" s="43" t="s">
        <v>107</v>
      </c>
      <c r="C41" s="44"/>
      <c r="D41" s="44"/>
      <c r="E41" s="44"/>
      <c r="F41" s="44"/>
      <c r="G41" s="27"/>
      <c r="H41" s="27"/>
      <c r="I41" s="27"/>
      <c r="J41" s="27"/>
      <c r="K41" s="32"/>
      <c r="L41" s="27"/>
      <c r="M41" s="33"/>
      <c r="N41" s="1"/>
    </row>
    <row r="42" spans="1:13" ht="12.75">
      <c r="A42" s="29">
        <v>1</v>
      </c>
      <c r="B42" s="30" t="s">
        <v>24</v>
      </c>
      <c r="C42" s="10"/>
      <c r="D42" s="10"/>
      <c r="E42" s="27">
        <v>5800000</v>
      </c>
      <c r="F42" s="31">
        <v>5800000</v>
      </c>
      <c r="G42" s="27">
        <v>9000000</v>
      </c>
      <c r="H42" s="27">
        <v>8500000</v>
      </c>
      <c r="I42" s="27"/>
      <c r="J42" s="27">
        <v>5000000</v>
      </c>
      <c r="K42" s="32">
        <v>1689707.05</v>
      </c>
      <c r="L42" s="27">
        <v>5000000</v>
      </c>
      <c r="M42" s="33">
        <f t="shared" si="0"/>
        <v>0</v>
      </c>
    </row>
    <row r="43" spans="1:13" ht="12.75">
      <c r="A43" s="45">
        <v>2</v>
      </c>
      <c r="B43" s="30" t="s">
        <v>95</v>
      </c>
      <c r="C43" s="10"/>
      <c r="D43" s="10"/>
      <c r="E43" s="27">
        <v>3500000</v>
      </c>
      <c r="F43" s="31">
        <v>3500000</v>
      </c>
      <c r="G43" s="27">
        <v>200000</v>
      </c>
      <c r="H43" s="27">
        <v>200000</v>
      </c>
      <c r="I43" s="27"/>
      <c r="J43" s="27">
        <v>0</v>
      </c>
      <c r="K43" s="32">
        <v>0</v>
      </c>
      <c r="L43" s="27">
        <v>0</v>
      </c>
      <c r="M43" s="33">
        <f t="shared" si="0"/>
        <v>0</v>
      </c>
    </row>
    <row r="44" spans="1:13" ht="12.75">
      <c r="A44" s="83">
        <v>3</v>
      </c>
      <c r="B44" s="75" t="s">
        <v>84</v>
      </c>
      <c r="C44" s="76"/>
      <c r="D44" s="76"/>
      <c r="E44" s="77"/>
      <c r="F44" s="82"/>
      <c r="G44" s="77">
        <v>4500000</v>
      </c>
      <c r="H44" s="77">
        <v>4500000</v>
      </c>
      <c r="I44" s="77"/>
      <c r="J44" s="77">
        <v>1000000</v>
      </c>
      <c r="K44" s="77">
        <v>0</v>
      </c>
      <c r="L44" s="77">
        <v>2523420.84</v>
      </c>
      <c r="M44" s="79">
        <f t="shared" si="0"/>
        <v>1523420.8399999999</v>
      </c>
    </row>
    <row r="45" spans="1:13" ht="12.75">
      <c r="A45" s="45"/>
      <c r="B45" s="46" t="s">
        <v>30</v>
      </c>
      <c r="C45" s="10"/>
      <c r="D45" s="10"/>
      <c r="E45" s="27"/>
      <c r="F45" s="31"/>
      <c r="G45" s="35">
        <f>SUM(G42:G44)</f>
        <v>13700000</v>
      </c>
      <c r="H45" s="35">
        <f>SUM(H42:H44)</f>
        <v>13200000</v>
      </c>
      <c r="I45" s="35"/>
      <c r="J45" s="35">
        <f>SUM(J42:J44)</f>
        <v>6000000</v>
      </c>
      <c r="K45" s="36">
        <f>SUM(K42:K44)</f>
        <v>1689707.05</v>
      </c>
      <c r="L45" s="35">
        <f>SUM(L42:L44)</f>
        <v>7523420.84</v>
      </c>
      <c r="M45" s="37">
        <f t="shared" si="0"/>
        <v>1523420.8399999999</v>
      </c>
    </row>
    <row r="46" spans="1:13" ht="12.75">
      <c r="A46" s="47">
        <v>5</v>
      </c>
      <c r="B46" s="46" t="s">
        <v>108</v>
      </c>
      <c r="C46" s="10"/>
      <c r="D46" s="10"/>
      <c r="E46" s="27"/>
      <c r="F46" s="31"/>
      <c r="G46" s="27"/>
      <c r="H46" s="27"/>
      <c r="I46" s="27"/>
      <c r="J46" s="27"/>
      <c r="K46" s="32"/>
      <c r="L46" s="27"/>
      <c r="M46" s="33"/>
    </row>
    <row r="47" spans="1:13" ht="12.75">
      <c r="A47" s="29">
        <v>1</v>
      </c>
      <c r="B47" s="30" t="s">
        <v>25</v>
      </c>
      <c r="C47" s="10"/>
      <c r="D47" s="10"/>
      <c r="E47" s="27"/>
      <c r="F47" s="31"/>
      <c r="G47" s="27">
        <v>2500000</v>
      </c>
      <c r="H47" s="27">
        <v>2500000</v>
      </c>
      <c r="I47" s="27"/>
      <c r="J47" s="32">
        <v>12000000</v>
      </c>
      <c r="K47" s="32">
        <f>208422.09+1886313.56</f>
        <v>2094735.6500000001</v>
      </c>
      <c r="L47" s="32">
        <v>12000000</v>
      </c>
      <c r="M47" s="33">
        <f t="shared" si="0"/>
        <v>0</v>
      </c>
    </row>
    <row r="48" spans="1:13" ht="12.75">
      <c r="A48" s="29">
        <v>2</v>
      </c>
      <c r="B48" s="30" t="s">
        <v>102</v>
      </c>
      <c r="C48" s="10"/>
      <c r="D48" s="10"/>
      <c r="E48" s="27"/>
      <c r="F48" s="31"/>
      <c r="G48" s="27">
        <v>1000000</v>
      </c>
      <c r="H48" s="27">
        <v>500000</v>
      </c>
      <c r="I48" s="27"/>
      <c r="J48" s="32">
        <v>1000000</v>
      </c>
      <c r="K48" s="32">
        <v>0</v>
      </c>
      <c r="L48" s="32">
        <v>1000000</v>
      </c>
      <c r="M48" s="33">
        <f t="shared" si="0"/>
        <v>0</v>
      </c>
    </row>
    <row r="49" spans="1:13" ht="12.75">
      <c r="A49" s="29"/>
      <c r="B49" s="46" t="s">
        <v>30</v>
      </c>
      <c r="C49" s="10"/>
      <c r="D49" s="10"/>
      <c r="E49" s="27"/>
      <c r="F49" s="31"/>
      <c r="G49" s="27"/>
      <c r="H49" s="27"/>
      <c r="I49" s="27"/>
      <c r="J49" s="36">
        <f>SUM(J47:J48)</f>
        <v>13000000</v>
      </c>
      <c r="K49" s="36">
        <f>SUM(K47:K48)</f>
        <v>2094735.6500000001</v>
      </c>
      <c r="L49" s="36">
        <f>SUM(L47:L48)</f>
        <v>13000000</v>
      </c>
      <c r="M49" s="37">
        <f t="shared" si="0"/>
        <v>0</v>
      </c>
    </row>
    <row r="50" spans="1:13" ht="12.75">
      <c r="A50" s="29"/>
      <c r="B50" s="46"/>
      <c r="C50" s="10"/>
      <c r="D50" s="10"/>
      <c r="E50" s="27"/>
      <c r="F50" s="31"/>
      <c r="G50" s="27"/>
      <c r="H50" s="27"/>
      <c r="I50" s="27"/>
      <c r="J50" s="32"/>
      <c r="K50" s="27"/>
      <c r="L50" s="32"/>
      <c r="M50" s="33"/>
    </row>
    <row r="51" spans="1:15" ht="12.75">
      <c r="A51" s="108" t="s">
        <v>148</v>
      </c>
      <c r="B51" s="109"/>
      <c r="C51" s="10"/>
      <c r="D51" s="10"/>
      <c r="E51" s="35">
        <f>SUM(E42:E43)</f>
        <v>9300000</v>
      </c>
      <c r="F51" s="35">
        <f>SUM(F42:F43)</f>
        <v>9300000</v>
      </c>
      <c r="G51" s="35">
        <f>SUM(G47:G48)</f>
        <v>3500000</v>
      </c>
      <c r="H51" s="35">
        <f>SUM(H47:H48)</f>
        <v>3000000</v>
      </c>
      <c r="I51" s="35"/>
      <c r="J51" s="36">
        <f>J11+J14+J40+J45+J49</f>
        <v>281490000</v>
      </c>
      <c r="K51" s="35">
        <f>K11+K14+K40+K45+K49</f>
        <v>122418072.97999999</v>
      </c>
      <c r="L51" s="36">
        <f>L11+L14+L40+L45+L49</f>
        <v>291513420.84</v>
      </c>
      <c r="M51" s="37">
        <f t="shared" si="0"/>
        <v>10023420.839999974</v>
      </c>
      <c r="N51" s="1"/>
      <c r="O51" s="1"/>
    </row>
    <row r="52" spans="1:13" ht="12.75">
      <c r="A52" s="39"/>
      <c r="B52" s="44"/>
      <c r="C52" s="44"/>
      <c r="D52" s="44"/>
      <c r="E52" s="44"/>
      <c r="F52" s="44"/>
      <c r="G52" s="27"/>
      <c r="H52" s="27"/>
      <c r="I52" s="27"/>
      <c r="J52" s="32"/>
      <c r="K52" s="27"/>
      <c r="L52" s="32"/>
      <c r="M52" s="33"/>
    </row>
    <row r="53" spans="1:13" ht="12.75">
      <c r="A53" s="48" t="s">
        <v>26</v>
      </c>
      <c r="B53" s="49"/>
      <c r="C53" s="10"/>
      <c r="D53" s="10"/>
      <c r="E53" s="27"/>
      <c r="F53" s="10"/>
      <c r="G53" s="35"/>
      <c r="H53" s="35"/>
      <c r="I53" s="35"/>
      <c r="J53" s="32"/>
      <c r="K53" s="27"/>
      <c r="L53" s="32"/>
      <c r="M53" s="33"/>
    </row>
    <row r="54" spans="1:13" ht="12.75">
      <c r="A54" s="25">
        <v>1</v>
      </c>
      <c r="B54" s="50" t="s">
        <v>28</v>
      </c>
      <c r="C54" s="10"/>
      <c r="D54" s="10"/>
      <c r="E54" s="27"/>
      <c r="F54" s="10"/>
      <c r="G54" s="35"/>
      <c r="H54" s="35"/>
      <c r="I54" s="35"/>
      <c r="J54" s="32"/>
      <c r="K54" s="27"/>
      <c r="L54" s="32"/>
      <c r="M54" s="33"/>
    </row>
    <row r="55" spans="1:13" ht="12.75">
      <c r="A55" s="74">
        <v>1</v>
      </c>
      <c r="B55" s="80" t="s">
        <v>29</v>
      </c>
      <c r="C55" s="76"/>
      <c r="D55" s="76"/>
      <c r="E55" s="77">
        <v>2400000</v>
      </c>
      <c r="F55" s="82"/>
      <c r="G55" s="77">
        <v>2200000</v>
      </c>
      <c r="H55" s="77">
        <v>2400000</v>
      </c>
      <c r="I55" s="77"/>
      <c r="J55" s="77">
        <v>3000000</v>
      </c>
      <c r="K55" s="77">
        <v>2942418.7</v>
      </c>
      <c r="L55" s="77">
        <v>4500000</v>
      </c>
      <c r="M55" s="79">
        <f t="shared" si="0"/>
        <v>1500000</v>
      </c>
    </row>
    <row r="56" spans="1:13" ht="12.75">
      <c r="A56" s="52" t="s">
        <v>30</v>
      </c>
      <c r="B56" s="53"/>
      <c r="C56" s="10"/>
      <c r="D56" s="10"/>
      <c r="E56" s="35">
        <v>2400000</v>
      </c>
      <c r="F56" s="54"/>
      <c r="G56" s="36">
        <f>G55</f>
        <v>2200000</v>
      </c>
      <c r="H56" s="36">
        <f>H55</f>
        <v>2400000</v>
      </c>
      <c r="I56" s="36"/>
      <c r="J56" s="36">
        <f>J55</f>
        <v>3000000</v>
      </c>
      <c r="K56" s="35">
        <f>K55</f>
        <v>2942418.7</v>
      </c>
      <c r="L56" s="36">
        <f>L55</f>
        <v>4500000</v>
      </c>
      <c r="M56" s="37">
        <f t="shared" si="0"/>
        <v>1500000</v>
      </c>
    </row>
    <row r="57" spans="1:13" ht="12.75">
      <c r="A57" s="52"/>
      <c r="B57" s="53"/>
      <c r="C57" s="55"/>
      <c r="D57" s="55"/>
      <c r="E57" s="55"/>
      <c r="F57" s="55"/>
      <c r="G57" s="36"/>
      <c r="H57" s="36"/>
      <c r="I57" s="36"/>
      <c r="J57" s="32"/>
      <c r="K57" s="27"/>
      <c r="L57" s="32"/>
      <c r="M57" s="33"/>
    </row>
    <row r="58" spans="1:13" ht="12.75">
      <c r="A58" s="25">
        <v>2</v>
      </c>
      <c r="B58" s="50" t="s">
        <v>100</v>
      </c>
      <c r="C58" s="10"/>
      <c r="D58" s="10"/>
      <c r="E58" s="27"/>
      <c r="F58" s="10"/>
      <c r="G58" s="36"/>
      <c r="H58" s="36"/>
      <c r="I58" s="36"/>
      <c r="J58" s="32"/>
      <c r="K58" s="27"/>
      <c r="L58" s="32"/>
      <c r="M58" s="33"/>
    </row>
    <row r="59" spans="1:14" ht="12.75">
      <c r="A59" s="74">
        <v>1</v>
      </c>
      <c r="B59" s="80" t="s">
        <v>31</v>
      </c>
      <c r="C59" s="76"/>
      <c r="D59" s="76"/>
      <c r="E59" s="77">
        <v>9480000</v>
      </c>
      <c r="F59" s="78"/>
      <c r="G59" s="77">
        <v>20060000</v>
      </c>
      <c r="H59" s="77">
        <v>16945000</v>
      </c>
      <c r="I59" s="77"/>
      <c r="J59" s="77">
        <v>24200000</v>
      </c>
      <c r="K59" s="77">
        <v>5457948.82</v>
      </c>
      <c r="L59" s="77">
        <v>27830000</v>
      </c>
      <c r="M59" s="79">
        <f t="shared" si="0"/>
        <v>3630000</v>
      </c>
      <c r="N59" s="1"/>
    </row>
    <row r="60" spans="1:14" ht="14.25">
      <c r="A60" s="74">
        <v>2</v>
      </c>
      <c r="B60" s="80" t="s">
        <v>32</v>
      </c>
      <c r="C60" s="76"/>
      <c r="D60" s="76"/>
      <c r="E60" s="77">
        <v>1635000</v>
      </c>
      <c r="F60" s="78"/>
      <c r="G60" s="77">
        <v>2400000</v>
      </c>
      <c r="H60" s="77">
        <v>2300000</v>
      </c>
      <c r="I60" s="77"/>
      <c r="J60" s="77">
        <f>1730000+685000</f>
        <v>2415000</v>
      </c>
      <c r="K60" s="77">
        <v>485146.09</v>
      </c>
      <c r="L60" s="77">
        <f>1200000+785000</f>
        <v>1985000</v>
      </c>
      <c r="M60" s="79">
        <f t="shared" si="0"/>
        <v>-430000</v>
      </c>
      <c r="N60" s="2"/>
    </row>
    <row r="61" spans="1:14" ht="12.75">
      <c r="A61" s="29">
        <v>3</v>
      </c>
      <c r="B61" s="51" t="s">
        <v>33</v>
      </c>
      <c r="C61" s="10"/>
      <c r="D61" s="10"/>
      <c r="E61" s="27">
        <v>705000</v>
      </c>
      <c r="F61" s="34"/>
      <c r="G61" s="32">
        <v>2691000</v>
      </c>
      <c r="H61" s="32">
        <v>2335000</v>
      </c>
      <c r="I61" s="32"/>
      <c r="J61" s="27">
        <f>2000000+980000</f>
        <v>2980000</v>
      </c>
      <c r="K61" s="27">
        <v>927387.48</v>
      </c>
      <c r="L61" s="27">
        <f>2000000+980000</f>
        <v>2980000</v>
      </c>
      <c r="M61" s="33">
        <f t="shared" si="0"/>
        <v>0</v>
      </c>
      <c r="N61" s="1"/>
    </row>
    <row r="62" spans="1:13" ht="12.75">
      <c r="A62" s="29">
        <v>4</v>
      </c>
      <c r="B62" s="51" t="s">
        <v>34</v>
      </c>
      <c r="C62" s="10"/>
      <c r="D62" s="10"/>
      <c r="E62" s="27">
        <v>400000</v>
      </c>
      <c r="F62" s="34"/>
      <c r="G62" s="32">
        <v>600000</v>
      </c>
      <c r="H62" s="32">
        <v>600000</v>
      </c>
      <c r="I62" s="32"/>
      <c r="J62" s="27">
        <v>1500000</v>
      </c>
      <c r="K62" s="27">
        <v>470963.5</v>
      </c>
      <c r="L62" s="27">
        <v>1500000</v>
      </c>
      <c r="M62" s="33">
        <f t="shared" si="0"/>
        <v>0</v>
      </c>
    </row>
    <row r="63" spans="1:14" ht="12.75">
      <c r="A63" s="52" t="s">
        <v>30</v>
      </c>
      <c r="B63" s="53"/>
      <c r="C63" s="10"/>
      <c r="D63" s="10"/>
      <c r="E63" s="35">
        <f>SUM(E59:E62)</f>
        <v>12220000</v>
      </c>
      <c r="F63" s="35"/>
      <c r="G63" s="36">
        <f>SUM(G59:G62)</f>
        <v>25751000</v>
      </c>
      <c r="H63" s="36">
        <f>SUM(H59:H62)</f>
        <v>22180000</v>
      </c>
      <c r="I63" s="36"/>
      <c r="J63" s="35">
        <f>SUM(J59:J62)</f>
        <v>31095000</v>
      </c>
      <c r="K63" s="35">
        <f>SUM(K59:K62)</f>
        <v>7341445.890000001</v>
      </c>
      <c r="L63" s="35">
        <f>SUM(L59:L62)</f>
        <v>34295000</v>
      </c>
      <c r="M63" s="37">
        <f t="shared" si="0"/>
        <v>3200000</v>
      </c>
      <c r="N63" s="1"/>
    </row>
    <row r="64" spans="1:13" ht="12.75">
      <c r="A64" s="25"/>
      <c r="B64" s="56"/>
      <c r="C64" s="44"/>
      <c r="D64" s="44"/>
      <c r="E64" s="44"/>
      <c r="F64" s="44"/>
      <c r="G64" s="36"/>
      <c r="H64" s="36"/>
      <c r="I64" s="36"/>
      <c r="J64" s="27"/>
      <c r="K64" s="27"/>
      <c r="L64" s="27"/>
      <c r="M64" s="33"/>
    </row>
    <row r="65" spans="1:13" ht="12.75">
      <c r="A65" s="25">
        <v>3</v>
      </c>
      <c r="B65" s="57" t="s">
        <v>35</v>
      </c>
      <c r="C65" s="10"/>
      <c r="D65" s="10"/>
      <c r="E65" s="27"/>
      <c r="F65" s="10"/>
      <c r="G65" s="36"/>
      <c r="H65" s="36"/>
      <c r="I65" s="36"/>
      <c r="J65" s="27"/>
      <c r="K65" s="27"/>
      <c r="L65" s="27"/>
      <c r="M65" s="33"/>
    </row>
    <row r="66" spans="1:15" ht="12.75">
      <c r="A66" s="74">
        <v>1</v>
      </c>
      <c r="B66" s="80" t="s">
        <v>36</v>
      </c>
      <c r="C66" s="76"/>
      <c r="D66" s="76"/>
      <c r="E66" s="77">
        <v>9200000</v>
      </c>
      <c r="F66" s="82"/>
      <c r="G66" s="77">
        <v>15000000</v>
      </c>
      <c r="H66" s="77">
        <v>10000000</v>
      </c>
      <c r="I66" s="77"/>
      <c r="J66" s="77">
        <v>11000000</v>
      </c>
      <c r="K66" s="77">
        <v>4571686.19</v>
      </c>
      <c r="L66" s="77">
        <v>10800000</v>
      </c>
      <c r="M66" s="79">
        <f t="shared" si="0"/>
        <v>-200000</v>
      </c>
      <c r="O66" s="1"/>
    </row>
    <row r="67" spans="1:13" ht="12.75">
      <c r="A67" s="29">
        <v>2</v>
      </c>
      <c r="B67" s="51" t="s">
        <v>37</v>
      </c>
      <c r="C67" s="10"/>
      <c r="D67" s="10"/>
      <c r="E67" s="27">
        <v>10000000</v>
      </c>
      <c r="F67" s="31"/>
      <c r="G67" s="32">
        <v>18000000</v>
      </c>
      <c r="H67" s="32">
        <v>18000000</v>
      </c>
      <c r="I67" s="32"/>
      <c r="J67" s="32">
        <v>14000000</v>
      </c>
      <c r="K67" s="27">
        <f>6206622.68+1250985.86</f>
        <v>7457608.54</v>
      </c>
      <c r="L67" s="32">
        <v>14000000</v>
      </c>
      <c r="M67" s="33">
        <f t="shared" si="0"/>
        <v>0</v>
      </c>
    </row>
    <row r="68" spans="1:13" ht="12.75">
      <c r="A68" s="29">
        <v>3</v>
      </c>
      <c r="B68" s="51" t="s">
        <v>38</v>
      </c>
      <c r="C68" s="10"/>
      <c r="D68" s="10"/>
      <c r="E68" s="27">
        <v>1060000</v>
      </c>
      <c r="F68" s="31"/>
      <c r="G68" s="32">
        <v>1300000</v>
      </c>
      <c r="H68" s="32">
        <v>1300000</v>
      </c>
      <c r="I68" s="32"/>
      <c r="J68" s="27">
        <v>600000</v>
      </c>
      <c r="K68" s="27">
        <v>340790.68</v>
      </c>
      <c r="L68" s="27">
        <v>600000</v>
      </c>
      <c r="M68" s="33">
        <f t="shared" si="0"/>
        <v>0</v>
      </c>
    </row>
    <row r="69" spans="1:13" ht="12.75">
      <c r="A69" s="52" t="s">
        <v>30</v>
      </c>
      <c r="B69" s="53"/>
      <c r="C69" s="10"/>
      <c r="D69" s="10"/>
      <c r="E69" s="35">
        <f>SUM(E66:E68)</f>
        <v>20260000</v>
      </c>
      <c r="F69" s="35"/>
      <c r="G69" s="36">
        <f>SUM(G66:G68)</f>
        <v>34300000</v>
      </c>
      <c r="H69" s="36">
        <f>SUM(H66:H68)</f>
        <v>29300000</v>
      </c>
      <c r="I69" s="36"/>
      <c r="J69" s="35">
        <f>SUM(J66:J68)</f>
        <v>25600000</v>
      </c>
      <c r="K69" s="35">
        <f>SUM(K66:K68)</f>
        <v>12370085.41</v>
      </c>
      <c r="L69" s="35">
        <f>SUM(L66:L68)</f>
        <v>25400000</v>
      </c>
      <c r="M69" s="37">
        <f t="shared" si="0"/>
        <v>-200000</v>
      </c>
    </row>
    <row r="70" spans="1:13" ht="12.75">
      <c r="A70" s="25"/>
      <c r="B70" s="56"/>
      <c r="C70" s="44"/>
      <c r="D70" s="44"/>
      <c r="E70" s="44"/>
      <c r="F70" s="44"/>
      <c r="G70" s="36"/>
      <c r="H70" s="36"/>
      <c r="I70" s="36"/>
      <c r="J70" s="27"/>
      <c r="K70" s="27"/>
      <c r="L70" s="27"/>
      <c r="M70" s="33"/>
    </row>
    <row r="71" spans="1:13" ht="12.75">
      <c r="A71" s="25">
        <v>4</v>
      </c>
      <c r="B71" s="53" t="s">
        <v>39</v>
      </c>
      <c r="C71" s="10"/>
      <c r="D71" s="10"/>
      <c r="E71" s="27"/>
      <c r="F71" s="10"/>
      <c r="G71" s="36"/>
      <c r="H71" s="36"/>
      <c r="I71" s="36"/>
      <c r="J71" s="27"/>
      <c r="K71" s="27"/>
      <c r="L71" s="27"/>
      <c r="M71" s="33"/>
    </row>
    <row r="72" spans="1:13" ht="12.75">
      <c r="A72" s="29">
        <v>1</v>
      </c>
      <c r="B72" s="51" t="s">
        <v>40</v>
      </c>
      <c r="C72" s="10"/>
      <c r="D72" s="10"/>
      <c r="E72" s="27">
        <v>78244560</v>
      </c>
      <c r="F72" s="35"/>
      <c r="G72" s="32">
        <v>97550200</v>
      </c>
      <c r="H72" s="32">
        <v>95510200</v>
      </c>
      <c r="I72" s="32"/>
      <c r="J72" s="32">
        <v>107280000</v>
      </c>
      <c r="K72" s="32">
        <v>51123364.38</v>
      </c>
      <c r="L72" s="32">
        <v>107280000</v>
      </c>
      <c r="M72" s="33">
        <f t="shared" si="0"/>
        <v>0</v>
      </c>
    </row>
    <row r="73" spans="1:13" ht="12.75">
      <c r="A73" s="29">
        <v>2</v>
      </c>
      <c r="B73" s="51" t="s">
        <v>41</v>
      </c>
      <c r="C73" s="10"/>
      <c r="D73" s="10"/>
      <c r="E73" s="27">
        <v>14564746</v>
      </c>
      <c r="F73" s="35"/>
      <c r="G73" s="32">
        <v>18446000</v>
      </c>
      <c r="H73" s="32">
        <v>18081000</v>
      </c>
      <c r="I73" s="32"/>
      <c r="J73" s="32">
        <v>18000000</v>
      </c>
      <c r="K73" s="32">
        <v>8872808.82</v>
      </c>
      <c r="L73" s="32">
        <v>18000000</v>
      </c>
      <c r="M73" s="33">
        <f t="shared" si="0"/>
        <v>0</v>
      </c>
    </row>
    <row r="74" spans="1:13" ht="12.75">
      <c r="A74" s="52" t="s">
        <v>30</v>
      </c>
      <c r="B74" s="53"/>
      <c r="C74" s="10"/>
      <c r="D74" s="10"/>
      <c r="E74" s="35">
        <f>SUM(E72:E73)</f>
        <v>92809306</v>
      </c>
      <c r="F74" s="35"/>
      <c r="G74" s="36">
        <f>SUM(G72:G73)</f>
        <v>115996200</v>
      </c>
      <c r="H74" s="36">
        <f>SUM(H72:H73)</f>
        <v>113591200</v>
      </c>
      <c r="I74" s="36"/>
      <c r="J74" s="36">
        <f>SUM(J72:J73)</f>
        <v>125280000</v>
      </c>
      <c r="K74" s="36">
        <f>SUM(K72:K73)</f>
        <v>59996173.2</v>
      </c>
      <c r="L74" s="36">
        <f>SUM(L72:L73)</f>
        <v>125280000</v>
      </c>
      <c r="M74" s="37">
        <f aca="true" t="shared" si="1" ref="M74:M137">L74-J74</f>
        <v>0</v>
      </c>
    </row>
    <row r="75" spans="1:13" ht="12.75">
      <c r="A75" s="25"/>
      <c r="B75" s="56"/>
      <c r="C75" s="44"/>
      <c r="D75" s="44"/>
      <c r="E75" s="44"/>
      <c r="F75" s="44"/>
      <c r="G75" s="36"/>
      <c r="H75" s="36"/>
      <c r="I75" s="36"/>
      <c r="J75" s="27"/>
      <c r="K75" s="27"/>
      <c r="L75" s="27"/>
      <c r="M75" s="33"/>
    </row>
    <row r="76" spans="1:13" ht="12.75">
      <c r="A76" s="25">
        <v>5</v>
      </c>
      <c r="B76" s="53" t="s">
        <v>42</v>
      </c>
      <c r="C76" s="10"/>
      <c r="D76" s="10"/>
      <c r="E76" s="27"/>
      <c r="F76" s="10"/>
      <c r="G76" s="36"/>
      <c r="H76" s="36"/>
      <c r="I76" s="36"/>
      <c r="J76" s="27"/>
      <c r="K76" s="27"/>
      <c r="L76" s="27"/>
      <c r="M76" s="33"/>
    </row>
    <row r="77" spans="1:13" ht="12.75">
      <c r="A77" s="29">
        <v>1</v>
      </c>
      <c r="B77" s="30" t="s">
        <v>118</v>
      </c>
      <c r="C77" s="10"/>
      <c r="D77" s="10"/>
      <c r="E77" s="27">
        <v>450000</v>
      </c>
      <c r="F77" s="34"/>
      <c r="G77" s="32">
        <v>900000</v>
      </c>
      <c r="H77" s="32">
        <v>900000</v>
      </c>
      <c r="I77" s="32"/>
      <c r="J77" s="27">
        <v>1150000</v>
      </c>
      <c r="K77" s="32">
        <v>574719</v>
      </c>
      <c r="L77" s="27">
        <v>1150000</v>
      </c>
      <c r="M77" s="33">
        <f t="shared" si="1"/>
        <v>0</v>
      </c>
    </row>
    <row r="78" spans="1:13" ht="12.75">
      <c r="A78" s="29">
        <v>2</v>
      </c>
      <c r="B78" s="30" t="s">
        <v>101</v>
      </c>
      <c r="C78" s="10"/>
      <c r="D78" s="10"/>
      <c r="E78" s="27">
        <v>350000</v>
      </c>
      <c r="F78" s="34"/>
      <c r="G78" s="32">
        <v>1500000</v>
      </c>
      <c r="H78" s="32">
        <v>1500000</v>
      </c>
      <c r="I78" s="32"/>
      <c r="J78" s="27">
        <v>300000</v>
      </c>
      <c r="K78" s="27">
        <v>0</v>
      </c>
      <c r="L78" s="27">
        <v>300000</v>
      </c>
      <c r="M78" s="33">
        <f t="shared" si="1"/>
        <v>0</v>
      </c>
    </row>
    <row r="79" spans="1:13" ht="12.75">
      <c r="A79" s="29">
        <v>3</v>
      </c>
      <c r="B79" s="30" t="s">
        <v>114</v>
      </c>
      <c r="C79" s="10"/>
      <c r="D79" s="10"/>
      <c r="E79" s="27"/>
      <c r="F79" s="34"/>
      <c r="G79" s="32">
        <v>113000</v>
      </c>
      <c r="H79" s="32">
        <v>0</v>
      </c>
      <c r="I79" s="32"/>
      <c r="J79" s="32">
        <v>600000</v>
      </c>
      <c r="K79" s="27">
        <v>0</v>
      </c>
      <c r="L79" s="32">
        <v>600000</v>
      </c>
      <c r="M79" s="33">
        <f t="shared" si="1"/>
        <v>0</v>
      </c>
    </row>
    <row r="80" spans="1:13" ht="12.75">
      <c r="A80" s="29">
        <v>4</v>
      </c>
      <c r="B80" s="30" t="s">
        <v>98</v>
      </c>
      <c r="C80" s="10"/>
      <c r="D80" s="10"/>
      <c r="E80" s="27">
        <v>350000</v>
      </c>
      <c r="F80" s="34"/>
      <c r="G80" s="32">
        <v>950000</v>
      </c>
      <c r="H80" s="32">
        <v>800000</v>
      </c>
      <c r="I80" s="32"/>
      <c r="J80" s="27">
        <v>100000</v>
      </c>
      <c r="K80" s="32">
        <v>0</v>
      </c>
      <c r="L80" s="27">
        <v>100000</v>
      </c>
      <c r="M80" s="33">
        <f t="shared" si="1"/>
        <v>0</v>
      </c>
    </row>
    <row r="81" spans="1:14" ht="12.75">
      <c r="A81" s="74">
        <v>5</v>
      </c>
      <c r="B81" s="75" t="s">
        <v>43</v>
      </c>
      <c r="C81" s="76"/>
      <c r="D81" s="76"/>
      <c r="E81" s="77">
        <v>200000</v>
      </c>
      <c r="F81" s="78"/>
      <c r="G81" s="77">
        <v>500000</v>
      </c>
      <c r="H81" s="77">
        <v>500000</v>
      </c>
      <c r="I81" s="77"/>
      <c r="J81" s="77">
        <v>4000000</v>
      </c>
      <c r="K81" s="77">
        <v>3171677.29</v>
      </c>
      <c r="L81" s="77">
        <v>7000000</v>
      </c>
      <c r="M81" s="79">
        <f t="shared" si="1"/>
        <v>3000000</v>
      </c>
      <c r="N81" s="1"/>
    </row>
    <row r="82" spans="1:13" ht="12.75">
      <c r="A82" s="29">
        <v>6</v>
      </c>
      <c r="B82" s="30" t="s">
        <v>44</v>
      </c>
      <c r="C82" s="10"/>
      <c r="D82" s="10"/>
      <c r="E82" s="27">
        <v>90000</v>
      </c>
      <c r="F82" s="34"/>
      <c r="G82" s="32">
        <v>300000</v>
      </c>
      <c r="H82" s="32">
        <v>300000</v>
      </c>
      <c r="I82" s="32"/>
      <c r="J82" s="27">
        <v>500000</v>
      </c>
      <c r="K82" s="32">
        <v>0</v>
      </c>
      <c r="L82" s="27">
        <v>500000</v>
      </c>
      <c r="M82" s="33">
        <f t="shared" si="1"/>
        <v>0</v>
      </c>
    </row>
    <row r="83" spans="1:13" ht="12.75">
      <c r="A83" s="29">
        <v>7</v>
      </c>
      <c r="B83" s="30" t="s">
        <v>45</v>
      </c>
      <c r="C83" s="10"/>
      <c r="D83" s="10"/>
      <c r="E83" s="27">
        <v>100000</v>
      </c>
      <c r="F83" s="34"/>
      <c r="G83" s="32">
        <v>130000</v>
      </c>
      <c r="H83" s="32">
        <v>130000</v>
      </c>
      <c r="I83" s="32"/>
      <c r="J83" s="32">
        <v>50000</v>
      </c>
      <c r="K83" s="32">
        <v>14552</v>
      </c>
      <c r="L83" s="32">
        <v>50000</v>
      </c>
      <c r="M83" s="33">
        <f t="shared" si="1"/>
        <v>0</v>
      </c>
    </row>
    <row r="84" spans="1:13" ht="12.75">
      <c r="A84" s="29">
        <v>8</v>
      </c>
      <c r="B84" s="30" t="s">
        <v>96</v>
      </c>
      <c r="C84" s="10"/>
      <c r="D84" s="10"/>
      <c r="E84" s="27">
        <v>3700000</v>
      </c>
      <c r="F84" s="34"/>
      <c r="G84" s="32">
        <v>30000</v>
      </c>
      <c r="H84" s="32">
        <v>30000</v>
      </c>
      <c r="I84" s="32"/>
      <c r="J84" s="32">
        <v>20000</v>
      </c>
      <c r="K84" s="32">
        <v>0</v>
      </c>
      <c r="L84" s="32">
        <v>20000</v>
      </c>
      <c r="M84" s="33">
        <f t="shared" si="1"/>
        <v>0</v>
      </c>
    </row>
    <row r="85" spans="1:13" ht="12.75">
      <c r="A85" s="29">
        <v>9</v>
      </c>
      <c r="B85" s="30" t="s">
        <v>46</v>
      </c>
      <c r="C85" s="10"/>
      <c r="D85" s="10"/>
      <c r="E85" s="27"/>
      <c r="F85" s="34"/>
      <c r="G85" s="32">
        <v>30000</v>
      </c>
      <c r="H85" s="32">
        <v>30000</v>
      </c>
      <c r="I85" s="32"/>
      <c r="J85" s="32">
        <v>40000</v>
      </c>
      <c r="K85" s="32">
        <v>20760</v>
      </c>
      <c r="L85" s="32">
        <v>40000</v>
      </c>
      <c r="M85" s="33">
        <f t="shared" si="1"/>
        <v>0</v>
      </c>
    </row>
    <row r="86" spans="1:13" ht="12.75">
      <c r="A86" s="29">
        <v>10</v>
      </c>
      <c r="B86" s="58" t="s">
        <v>97</v>
      </c>
      <c r="C86" s="58"/>
      <c r="D86" s="10"/>
      <c r="E86" s="27"/>
      <c r="F86" s="34"/>
      <c r="G86" s="32">
        <v>15000</v>
      </c>
      <c r="H86" s="32">
        <v>15000</v>
      </c>
      <c r="I86" s="32"/>
      <c r="J86" s="32">
        <v>15000</v>
      </c>
      <c r="K86" s="32">
        <v>0</v>
      </c>
      <c r="L86" s="32">
        <v>15000</v>
      </c>
      <c r="M86" s="33">
        <f t="shared" si="1"/>
        <v>0</v>
      </c>
    </row>
    <row r="87" spans="1:13" ht="12.75">
      <c r="A87" s="29">
        <v>11</v>
      </c>
      <c r="B87" s="30" t="s">
        <v>47</v>
      </c>
      <c r="C87" s="10"/>
      <c r="D87" s="10"/>
      <c r="E87" s="27"/>
      <c r="F87" s="34"/>
      <c r="G87" s="32">
        <v>8300000</v>
      </c>
      <c r="H87" s="32">
        <v>8800000</v>
      </c>
      <c r="I87" s="32"/>
      <c r="J87" s="32">
        <v>8800000</v>
      </c>
      <c r="K87" s="32">
        <f>3121749.76+611195.11+244.85+1958.79</f>
        <v>3735148.51</v>
      </c>
      <c r="L87" s="32">
        <v>8800000</v>
      </c>
      <c r="M87" s="33">
        <f t="shared" si="1"/>
        <v>0</v>
      </c>
    </row>
    <row r="88" spans="1:13" ht="12.75">
      <c r="A88" s="52" t="s">
        <v>30</v>
      </c>
      <c r="B88" s="53"/>
      <c r="C88" s="10"/>
      <c r="D88" s="10"/>
      <c r="E88" s="35">
        <f>SUM(E77:E84)</f>
        <v>5240000</v>
      </c>
      <c r="F88" s="35"/>
      <c r="G88" s="36">
        <f>SUM(G77:G87)</f>
        <v>12768000</v>
      </c>
      <c r="H88" s="36">
        <f>SUM(H77:H87)</f>
        <v>13005000</v>
      </c>
      <c r="I88" s="36"/>
      <c r="J88" s="35">
        <f>SUM(J77:J87)</f>
        <v>15575000</v>
      </c>
      <c r="K88" s="35">
        <f>SUM(K77:K87)</f>
        <v>7516856.8</v>
      </c>
      <c r="L88" s="35">
        <f>SUM(L77:L87)</f>
        <v>18575000</v>
      </c>
      <c r="M88" s="37">
        <f t="shared" si="1"/>
        <v>3000000</v>
      </c>
    </row>
    <row r="89" spans="1:13" ht="12.75">
      <c r="A89" s="25">
        <v>6</v>
      </c>
      <c r="B89" s="53" t="s">
        <v>123</v>
      </c>
      <c r="C89" s="55"/>
      <c r="D89" s="55"/>
      <c r="E89" s="55"/>
      <c r="F89" s="55"/>
      <c r="G89" s="36"/>
      <c r="H89" s="36"/>
      <c r="I89" s="36"/>
      <c r="J89" s="27"/>
      <c r="K89" s="27"/>
      <c r="L89" s="27"/>
      <c r="M89" s="33"/>
    </row>
    <row r="90" spans="1:13" ht="12.75">
      <c r="A90" s="29">
        <v>1</v>
      </c>
      <c r="B90" s="51" t="s">
        <v>48</v>
      </c>
      <c r="C90" s="10"/>
      <c r="D90" s="10"/>
      <c r="E90" s="27">
        <v>4450000</v>
      </c>
      <c r="F90" s="34"/>
      <c r="G90" s="32">
        <v>150000</v>
      </c>
      <c r="H90" s="32">
        <v>150000</v>
      </c>
      <c r="I90" s="32"/>
      <c r="J90" s="27">
        <v>490000</v>
      </c>
      <c r="K90" s="32">
        <v>158805.04</v>
      </c>
      <c r="L90" s="27">
        <v>490000</v>
      </c>
      <c r="M90" s="33">
        <f t="shared" si="1"/>
        <v>0</v>
      </c>
    </row>
    <row r="91" spans="1:14" ht="12.75">
      <c r="A91" s="29">
        <v>2</v>
      </c>
      <c r="B91" s="51" t="s">
        <v>49</v>
      </c>
      <c r="C91" s="10"/>
      <c r="D91" s="10"/>
      <c r="E91" s="27">
        <v>350000</v>
      </c>
      <c r="F91" s="59"/>
      <c r="G91" s="32">
        <v>5400000</v>
      </c>
      <c r="H91" s="32">
        <v>5400000</v>
      </c>
      <c r="I91" s="32"/>
      <c r="J91" s="27">
        <v>13000000</v>
      </c>
      <c r="K91" s="32">
        <f>5591389.26+76085.45</f>
        <v>5667474.71</v>
      </c>
      <c r="L91" s="27">
        <v>13000000</v>
      </c>
      <c r="M91" s="33">
        <f t="shared" si="1"/>
        <v>0</v>
      </c>
      <c r="N91" s="1"/>
    </row>
    <row r="92" spans="1:13" ht="12.75">
      <c r="A92" s="74">
        <v>3</v>
      </c>
      <c r="B92" s="80" t="s">
        <v>120</v>
      </c>
      <c r="C92" s="76"/>
      <c r="D92" s="76"/>
      <c r="E92" s="77"/>
      <c r="F92" s="81"/>
      <c r="G92" s="77"/>
      <c r="H92" s="77"/>
      <c r="I92" s="77"/>
      <c r="J92" s="77">
        <v>1000000</v>
      </c>
      <c r="K92" s="77">
        <v>0</v>
      </c>
      <c r="L92" s="77">
        <v>2523420.84</v>
      </c>
      <c r="M92" s="79">
        <f t="shared" si="1"/>
        <v>1523420.8399999999</v>
      </c>
    </row>
    <row r="93" spans="1:13" ht="12.75">
      <c r="A93" s="52" t="s">
        <v>30</v>
      </c>
      <c r="B93" s="53"/>
      <c r="C93" s="10"/>
      <c r="D93" s="10"/>
      <c r="E93" s="35">
        <f>SUM(E90:E91)</f>
        <v>4800000</v>
      </c>
      <c r="F93" s="35"/>
      <c r="G93" s="36">
        <f>SUM(G90:G91)</f>
        <v>5550000</v>
      </c>
      <c r="H93" s="36">
        <f>SUM(H90:H91)</f>
        <v>5550000</v>
      </c>
      <c r="I93" s="36"/>
      <c r="J93" s="35">
        <f>SUM(J90:J92)</f>
        <v>14490000</v>
      </c>
      <c r="K93" s="35">
        <f>SUM(K90:K92)</f>
        <v>5826279.75</v>
      </c>
      <c r="L93" s="35">
        <f>SUM(L90:L92)</f>
        <v>16013420.84</v>
      </c>
      <c r="M93" s="37">
        <f t="shared" si="1"/>
        <v>1523420.8399999999</v>
      </c>
    </row>
    <row r="94" spans="1:13" ht="12.75">
      <c r="A94" s="52"/>
      <c r="B94" s="53"/>
      <c r="C94" s="55"/>
      <c r="D94" s="55"/>
      <c r="E94" s="55"/>
      <c r="F94" s="55"/>
      <c r="G94" s="36"/>
      <c r="H94" s="36"/>
      <c r="I94" s="36"/>
      <c r="J94" s="27"/>
      <c r="K94" s="27"/>
      <c r="L94" s="27"/>
      <c r="M94" s="33"/>
    </row>
    <row r="95" spans="1:13" ht="12.75">
      <c r="A95" s="60">
        <v>7</v>
      </c>
      <c r="B95" s="57" t="s">
        <v>124</v>
      </c>
      <c r="C95" s="10"/>
      <c r="D95" s="10"/>
      <c r="E95" s="35"/>
      <c r="F95" s="35"/>
      <c r="G95" s="36"/>
      <c r="H95" s="36"/>
      <c r="I95" s="36"/>
      <c r="J95" s="27"/>
      <c r="K95" s="27"/>
      <c r="L95" s="27"/>
      <c r="M95" s="33"/>
    </row>
    <row r="96" spans="1:16" ht="25.5">
      <c r="A96" s="61">
        <v>1</v>
      </c>
      <c r="B96" s="62" t="s">
        <v>144</v>
      </c>
      <c r="C96" s="10"/>
      <c r="D96" s="10"/>
      <c r="E96" s="35"/>
      <c r="F96" s="35"/>
      <c r="G96" s="36">
        <v>0</v>
      </c>
      <c r="H96" s="36">
        <v>500000</v>
      </c>
      <c r="I96" s="36"/>
      <c r="J96" s="35">
        <v>1000000</v>
      </c>
      <c r="K96" s="35">
        <v>0</v>
      </c>
      <c r="L96" s="35">
        <v>1000000</v>
      </c>
      <c r="M96" s="37">
        <f t="shared" si="1"/>
        <v>0</v>
      </c>
      <c r="P96" s="1"/>
    </row>
    <row r="97" spans="1:13" ht="12.75">
      <c r="A97" s="63"/>
      <c r="B97" s="56"/>
      <c r="C97" s="58"/>
      <c r="D97" s="58"/>
      <c r="E97" s="58"/>
      <c r="F97" s="58"/>
      <c r="G97" s="36"/>
      <c r="H97" s="36"/>
      <c r="I97" s="36"/>
      <c r="J97" s="27"/>
      <c r="K97" s="27"/>
      <c r="L97" s="27"/>
      <c r="M97" s="33"/>
    </row>
    <row r="98" spans="1:16" ht="12.75">
      <c r="A98" s="25">
        <v>8</v>
      </c>
      <c r="B98" s="53" t="s">
        <v>50</v>
      </c>
      <c r="C98" s="10"/>
      <c r="D98" s="10"/>
      <c r="E98" s="27"/>
      <c r="F98" s="35"/>
      <c r="G98" s="36"/>
      <c r="H98" s="36"/>
      <c r="I98" s="36"/>
      <c r="J98" s="27"/>
      <c r="K98" s="27"/>
      <c r="L98" s="27"/>
      <c r="M98" s="33"/>
      <c r="P98" s="1"/>
    </row>
    <row r="99" spans="1:13" ht="12.75">
      <c r="A99" s="29">
        <v>1</v>
      </c>
      <c r="B99" s="30" t="s">
        <v>106</v>
      </c>
      <c r="C99" s="10"/>
      <c r="D99" s="10"/>
      <c r="E99" s="27"/>
      <c r="F99" s="10"/>
      <c r="G99" s="32">
        <v>1880000</v>
      </c>
      <c r="H99" s="32">
        <v>2000000</v>
      </c>
      <c r="I99" s="32"/>
      <c r="J99" s="27">
        <f>980000+400000</f>
        <v>1380000</v>
      </c>
      <c r="K99" s="32">
        <v>558278.36</v>
      </c>
      <c r="L99" s="27">
        <f>980000+400000</f>
        <v>1380000</v>
      </c>
      <c r="M99" s="33">
        <f t="shared" si="1"/>
        <v>0</v>
      </c>
    </row>
    <row r="100" spans="1:13" ht="12.75">
      <c r="A100" s="29">
        <v>2</v>
      </c>
      <c r="B100" s="30" t="s">
        <v>51</v>
      </c>
      <c r="C100" s="10"/>
      <c r="D100" s="10"/>
      <c r="E100" s="27">
        <v>750000</v>
      </c>
      <c r="F100" s="27"/>
      <c r="G100" s="32">
        <v>1000000</v>
      </c>
      <c r="H100" s="32">
        <v>700000</v>
      </c>
      <c r="I100" s="32"/>
      <c r="J100" s="32">
        <v>990000</v>
      </c>
      <c r="K100" s="27">
        <v>927692.8</v>
      </c>
      <c r="L100" s="32">
        <v>990000</v>
      </c>
      <c r="M100" s="33">
        <f t="shared" si="1"/>
        <v>0</v>
      </c>
    </row>
    <row r="101" spans="1:13" ht="12.75">
      <c r="A101" s="29">
        <v>3</v>
      </c>
      <c r="B101" s="64" t="s">
        <v>85</v>
      </c>
      <c r="C101" s="10"/>
      <c r="D101" s="10"/>
      <c r="E101" s="27">
        <v>2000000</v>
      </c>
      <c r="F101" s="31"/>
      <c r="G101" s="32">
        <v>100000</v>
      </c>
      <c r="H101" s="32">
        <v>100000</v>
      </c>
      <c r="I101" s="32"/>
      <c r="J101" s="27">
        <v>250000</v>
      </c>
      <c r="K101" s="27">
        <v>100567.05</v>
      </c>
      <c r="L101" s="27">
        <v>250000</v>
      </c>
      <c r="M101" s="33">
        <f t="shared" si="1"/>
        <v>0</v>
      </c>
    </row>
    <row r="102" spans="1:13" ht="12.75">
      <c r="A102" s="74">
        <v>4</v>
      </c>
      <c r="B102" s="75" t="s">
        <v>86</v>
      </c>
      <c r="C102" s="76"/>
      <c r="D102" s="76"/>
      <c r="E102" s="77">
        <v>120000</v>
      </c>
      <c r="F102" s="82"/>
      <c r="G102" s="77">
        <v>7660000</v>
      </c>
      <c r="H102" s="77">
        <v>5720000</v>
      </c>
      <c r="I102" s="77"/>
      <c r="J102" s="77">
        <v>8550000</v>
      </c>
      <c r="K102" s="77">
        <v>2013221.67</v>
      </c>
      <c r="L102" s="77">
        <f>2000000+4370000+780000</f>
        <v>7150000</v>
      </c>
      <c r="M102" s="79">
        <f t="shared" si="1"/>
        <v>-1400000</v>
      </c>
    </row>
    <row r="103" spans="1:13" ht="12.75">
      <c r="A103" s="29">
        <v>5</v>
      </c>
      <c r="B103" s="30" t="s">
        <v>142</v>
      </c>
      <c r="C103" s="10"/>
      <c r="D103" s="10"/>
      <c r="E103" s="27">
        <v>4215000</v>
      </c>
      <c r="F103" s="31"/>
      <c r="G103" s="32">
        <v>132000</v>
      </c>
      <c r="H103" s="32">
        <v>60000</v>
      </c>
      <c r="I103" s="32"/>
      <c r="J103" s="27">
        <v>490000</v>
      </c>
      <c r="K103" s="27">
        <v>64998</v>
      </c>
      <c r="L103" s="27">
        <v>490000</v>
      </c>
      <c r="M103" s="33">
        <f t="shared" si="1"/>
        <v>0</v>
      </c>
    </row>
    <row r="104" spans="1:13" ht="12.75">
      <c r="A104" s="29">
        <v>6</v>
      </c>
      <c r="B104" s="30" t="s">
        <v>87</v>
      </c>
      <c r="C104" s="10"/>
      <c r="D104" s="10"/>
      <c r="E104" s="27">
        <v>500000</v>
      </c>
      <c r="F104" s="31"/>
      <c r="G104" s="32">
        <v>270000</v>
      </c>
      <c r="H104" s="32">
        <v>270000</v>
      </c>
      <c r="I104" s="32"/>
      <c r="J104" s="27">
        <v>360000</v>
      </c>
      <c r="K104" s="32">
        <v>69718.46</v>
      </c>
      <c r="L104" s="27">
        <v>360000</v>
      </c>
      <c r="M104" s="33">
        <f t="shared" si="1"/>
        <v>0</v>
      </c>
    </row>
    <row r="105" spans="1:13" ht="12.75">
      <c r="A105" s="52" t="s">
        <v>30</v>
      </c>
      <c r="B105" s="55"/>
      <c r="C105" s="10"/>
      <c r="D105" s="10"/>
      <c r="E105" s="27">
        <v>300000</v>
      </c>
      <c r="F105" s="31"/>
      <c r="G105" s="36">
        <f>SUM(G99:G104)</f>
        <v>11042000</v>
      </c>
      <c r="H105" s="36">
        <f>SUM(H99:H104)</f>
        <v>8850000</v>
      </c>
      <c r="I105" s="36"/>
      <c r="J105" s="35">
        <f>SUM(J99:J104)</f>
        <v>12020000</v>
      </c>
      <c r="K105" s="35">
        <f>SUM(K99:K104)</f>
        <v>3734476.34</v>
      </c>
      <c r="L105" s="35">
        <f>SUM(L99:L104)</f>
        <v>10620000</v>
      </c>
      <c r="M105" s="37">
        <f t="shared" si="1"/>
        <v>-1400000</v>
      </c>
    </row>
    <row r="106" spans="1:13" ht="12.75">
      <c r="A106" s="52"/>
      <c r="B106" s="55"/>
      <c r="C106" s="10"/>
      <c r="D106" s="10"/>
      <c r="E106" s="27"/>
      <c r="F106" s="31"/>
      <c r="G106" s="36"/>
      <c r="H106" s="36"/>
      <c r="I106" s="36"/>
      <c r="J106" s="27"/>
      <c r="K106" s="27"/>
      <c r="L106" s="27"/>
      <c r="M106" s="33"/>
    </row>
    <row r="107" spans="1:13" ht="12.75">
      <c r="A107" s="60">
        <v>9</v>
      </c>
      <c r="B107" s="55" t="s">
        <v>125</v>
      </c>
      <c r="C107" s="10"/>
      <c r="D107" s="10"/>
      <c r="E107" s="27"/>
      <c r="F107" s="31"/>
      <c r="G107" s="36"/>
      <c r="H107" s="36"/>
      <c r="I107" s="36"/>
      <c r="J107" s="27"/>
      <c r="K107" s="27"/>
      <c r="L107" s="27"/>
      <c r="M107" s="33"/>
    </row>
    <row r="108" spans="1:13" ht="12.75">
      <c r="A108" s="61">
        <v>1</v>
      </c>
      <c r="B108" s="58" t="s">
        <v>109</v>
      </c>
      <c r="C108" s="10"/>
      <c r="D108" s="10"/>
      <c r="E108" s="27"/>
      <c r="F108" s="31"/>
      <c r="G108" s="36">
        <v>70000</v>
      </c>
      <c r="H108" s="36">
        <v>70000</v>
      </c>
      <c r="I108" s="36"/>
      <c r="J108" s="35">
        <v>800000</v>
      </c>
      <c r="K108" s="35">
        <v>304883.05</v>
      </c>
      <c r="L108" s="35">
        <v>800000</v>
      </c>
      <c r="M108" s="37">
        <f t="shared" si="1"/>
        <v>0</v>
      </c>
    </row>
    <row r="109" spans="1:13" ht="12.75">
      <c r="A109" s="61"/>
      <c r="B109" s="58"/>
      <c r="C109" s="10"/>
      <c r="D109" s="10"/>
      <c r="E109" s="27"/>
      <c r="F109" s="31"/>
      <c r="G109" s="36"/>
      <c r="H109" s="36"/>
      <c r="I109" s="36"/>
      <c r="J109" s="35"/>
      <c r="K109" s="27"/>
      <c r="L109" s="35"/>
      <c r="M109" s="33"/>
    </row>
    <row r="110" spans="1:13" ht="12.75">
      <c r="A110" s="25">
        <v>10</v>
      </c>
      <c r="B110" s="42" t="s">
        <v>52</v>
      </c>
      <c r="C110" s="10"/>
      <c r="D110" s="10"/>
      <c r="E110" s="27"/>
      <c r="F110" s="10"/>
      <c r="G110" s="36"/>
      <c r="H110" s="36"/>
      <c r="I110" s="36"/>
      <c r="J110" s="27"/>
      <c r="K110" s="27"/>
      <c r="L110" s="27"/>
      <c r="M110" s="33"/>
    </row>
    <row r="111" spans="1:13" ht="12.75">
      <c r="A111" s="29">
        <v>1</v>
      </c>
      <c r="B111" s="30" t="s">
        <v>53</v>
      </c>
      <c r="C111" s="10"/>
      <c r="D111" s="10"/>
      <c r="E111" s="27"/>
      <c r="F111" s="10"/>
      <c r="G111" s="36">
        <v>16100000</v>
      </c>
      <c r="H111" s="36">
        <v>16100000</v>
      </c>
      <c r="I111" s="36"/>
      <c r="J111" s="35">
        <v>20300000</v>
      </c>
      <c r="K111" s="36">
        <v>12240929.62</v>
      </c>
      <c r="L111" s="35">
        <v>20300000</v>
      </c>
      <c r="M111" s="37">
        <f t="shared" si="1"/>
        <v>0</v>
      </c>
    </row>
    <row r="112" spans="1:13" ht="12.75">
      <c r="A112" s="29"/>
      <c r="B112" s="30"/>
      <c r="C112" s="10"/>
      <c r="D112" s="10"/>
      <c r="E112" s="27"/>
      <c r="F112" s="10"/>
      <c r="G112" s="36"/>
      <c r="H112" s="36"/>
      <c r="I112" s="36"/>
      <c r="J112" s="35"/>
      <c r="K112" s="27"/>
      <c r="L112" s="35"/>
      <c r="M112" s="33"/>
    </row>
    <row r="113" spans="1:13" ht="12.75">
      <c r="A113" s="25">
        <v>11</v>
      </c>
      <c r="B113" s="42" t="s">
        <v>54</v>
      </c>
      <c r="C113" s="10"/>
      <c r="D113" s="10"/>
      <c r="E113" s="27"/>
      <c r="F113" s="10"/>
      <c r="G113" s="36"/>
      <c r="H113" s="36"/>
      <c r="I113" s="36"/>
      <c r="J113" s="27"/>
      <c r="K113" s="27"/>
      <c r="L113" s="27"/>
      <c r="M113" s="33"/>
    </row>
    <row r="114" spans="1:13" ht="12.75">
      <c r="A114" s="29">
        <v>1</v>
      </c>
      <c r="B114" s="30" t="s">
        <v>55</v>
      </c>
      <c r="C114" s="10"/>
      <c r="D114" s="10"/>
      <c r="E114" s="27"/>
      <c r="F114" s="10"/>
      <c r="G114" s="36"/>
      <c r="H114" s="36"/>
      <c r="I114" s="36"/>
      <c r="J114" s="27"/>
      <c r="K114" s="27"/>
      <c r="L114" s="27"/>
      <c r="M114" s="33"/>
    </row>
    <row r="115" spans="1:13" ht="12.75">
      <c r="A115" s="29"/>
      <c r="B115" s="30" t="s">
        <v>56</v>
      </c>
      <c r="C115" s="10"/>
      <c r="D115" s="10"/>
      <c r="E115" s="27">
        <v>1600000</v>
      </c>
      <c r="F115" s="27"/>
      <c r="G115" s="32">
        <v>2200000</v>
      </c>
      <c r="H115" s="32">
        <v>3000000</v>
      </c>
      <c r="I115" s="32"/>
      <c r="J115" s="27">
        <v>2500000</v>
      </c>
      <c r="K115" s="27">
        <v>842754</v>
      </c>
      <c r="L115" s="27">
        <v>2500000</v>
      </c>
      <c r="M115" s="33">
        <f t="shared" si="1"/>
        <v>0</v>
      </c>
    </row>
    <row r="116" spans="1:13" ht="12.75">
      <c r="A116" s="29"/>
      <c r="B116" s="30" t="s">
        <v>57</v>
      </c>
      <c r="C116" s="10"/>
      <c r="D116" s="10"/>
      <c r="E116" s="27">
        <v>50000</v>
      </c>
      <c r="F116" s="27"/>
      <c r="G116" s="32">
        <v>50000</v>
      </c>
      <c r="H116" s="32">
        <v>50000</v>
      </c>
      <c r="I116" s="32"/>
      <c r="J116" s="27">
        <v>50000</v>
      </c>
      <c r="K116" s="27">
        <v>0</v>
      </c>
      <c r="L116" s="27">
        <v>50000</v>
      </c>
      <c r="M116" s="33">
        <f t="shared" si="1"/>
        <v>0</v>
      </c>
    </row>
    <row r="117" spans="1:13" ht="12.75">
      <c r="A117" s="74"/>
      <c r="B117" s="75" t="s">
        <v>58</v>
      </c>
      <c r="C117" s="76"/>
      <c r="D117" s="76"/>
      <c r="E117" s="77">
        <v>70000</v>
      </c>
      <c r="F117" s="77"/>
      <c r="G117" s="77">
        <v>390000</v>
      </c>
      <c r="H117" s="77">
        <v>450000</v>
      </c>
      <c r="I117" s="77"/>
      <c r="J117" s="77">
        <v>480000</v>
      </c>
      <c r="K117" s="77">
        <v>70870</v>
      </c>
      <c r="L117" s="77">
        <v>280000</v>
      </c>
      <c r="M117" s="79">
        <f t="shared" si="1"/>
        <v>-200000</v>
      </c>
    </row>
    <row r="118" spans="1:13" ht="12.75">
      <c r="A118" s="29"/>
      <c r="B118" s="30" t="s">
        <v>59</v>
      </c>
      <c r="C118" s="10"/>
      <c r="D118" s="10"/>
      <c r="E118" s="27">
        <v>50000</v>
      </c>
      <c r="F118" s="27"/>
      <c r="G118" s="32">
        <v>200000</v>
      </c>
      <c r="H118" s="32">
        <v>100000</v>
      </c>
      <c r="I118" s="32"/>
      <c r="J118" s="27">
        <v>200000</v>
      </c>
      <c r="K118" s="32">
        <v>17575</v>
      </c>
      <c r="L118" s="27">
        <v>200000</v>
      </c>
      <c r="M118" s="33">
        <f t="shared" si="1"/>
        <v>0</v>
      </c>
    </row>
    <row r="119" spans="1:13" ht="12.75">
      <c r="A119" s="29"/>
      <c r="B119" s="64" t="s">
        <v>88</v>
      </c>
      <c r="C119" s="10"/>
      <c r="D119" s="10"/>
      <c r="E119" s="27">
        <v>180000</v>
      </c>
      <c r="F119" s="27"/>
      <c r="G119" s="32">
        <v>206000</v>
      </c>
      <c r="H119" s="32">
        <v>250000</v>
      </c>
      <c r="I119" s="32"/>
      <c r="J119" s="27">
        <v>240000</v>
      </c>
      <c r="K119" s="32">
        <v>240000</v>
      </c>
      <c r="L119" s="27">
        <v>240000</v>
      </c>
      <c r="M119" s="33">
        <f t="shared" si="1"/>
        <v>0</v>
      </c>
    </row>
    <row r="120" spans="1:13" ht="12.75">
      <c r="A120" s="74"/>
      <c r="B120" s="75" t="s">
        <v>60</v>
      </c>
      <c r="C120" s="76"/>
      <c r="D120" s="76"/>
      <c r="E120" s="77">
        <v>70000</v>
      </c>
      <c r="F120" s="77"/>
      <c r="G120" s="77">
        <v>100000</v>
      </c>
      <c r="H120" s="77">
        <v>150000</v>
      </c>
      <c r="I120" s="77"/>
      <c r="J120" s="77">
        <v>200000</v>
      </c>
      <c r="K120" s="77">
        <v>0</v>
      </c>
      <c r="L120" s="77">
        <v>50000</v>
      </c>
      <c r="M120" s="79">
        <f t="shared" si="1"/>
        <v>-150000</v>
      </c>
    </row>
    <row r="121" spans="1:13" ht="12.75">
      <c r="A121" s="29"/>
      <c r="B121" s="30" t="s">
        <v>122</v>
      </c>
      <c r="C121" s="10"/>
      <c r="D121" s="10"/>
      <c r="E121" s="27">
        <v>240000</v>
      </c>
      <c r="F121" s="27"/>
      <c r="G121" s="32">
        <v>490000</v>
      </c>
      <c r="H121" s="32">
        <v>150000</v>
      </c>
      <c r="I121" s="32"/>
      <c r="J121" s="27">
        <v>800000</v>
      </c>
      <c r="K121" s="32">
        <v>437237.75</v>
      </c>
      <c r="L121" s="27">
        <v>800000</v>
      </c>
      <c r="M121" s="33">
        <f t="shared" si="1"/>
        <v>0</v>
      </c>
    </row>
    <row r="122" spans="1:13" ht="12.75">
      <c r="A122" s="29"/>
      <c r="B122" s="30" t="s">
        <v>121</v>
      </c>
      <c r="C122" s="10"/>
      <c r="D122" s="10"/>
      <c r="E122" s="27"/>
      <c r="F122" s="27"/>
      <c r="G122" s="32"/>
      <c r="H122" s="32"/>
      <c r="I122" s="32"/>
      <c r="J122" s="32">
        <v>100000</v>
      </c>
      <c r="K122" s="32">
        <v>0</v>
      </c>
      <c r="L122" s="32">
        <v>100000</v>
      </c>
      <c r="M122" s="33">
        <f t="shared" si="1"/>
        <v>0</v>
      </c>
    </row>
    <row r="123" spans="1:13" ht="12.75">
      <c r="A123" s="29"/>
      <c r="B123" s="30" t="s">
        <v>61</v>
      </c>
      <c r="C123" s="10"/>
      <c r="D123" s="10"/>
      <c r="E123" s="27">
        <v>900000</v>
      </c>
      <c r="F123" s="27"/>
      <c r="G123" s="32">
        <v>1600000</v>
      </c>
      <c r="H123" s="32">
        <v>1000000</v>
      </c>
      <c r="I123" s="32"/>
      <c r="J123" s="32">
        <v>999500</v>
      </c>
      <c r="K123" s="32">
        <v>856400</v>
      </c>
      <c r="L123" s="32">
        <v>999500</v>
      </c>
      <c r="M123" s="33">
        <f t="shared" si="1"/>
        <v>0</v>
      </c>
    </row>
    <row r="124" spans="1:13" ht="12.75">
      <c r="A124" s="74"/>
      <c r="B124" s="75" t="s">
        <v>62</v>
      </c>
      <c r="C124" s="76"/>
      <c r="D124" s="76"/>
      <c r="E124" s="77">
        <v>3900000</v>
      </c>
      <c r="F124" s="77"/>
      <c r="G124" s="77">
        <v>5150000</v>
      </c>
      <c r="H124" s="77">
        <v>5040000</v>
      </c>
      <c r="I124" s="77"/>
      <c r="J124" s="77">
        <v>9850000</v>
      </c>
      <c r="K124" s="77">
        <f>54000+4651059.98+29900</f>
        <v>4734959.98</v>
      </c>
      <c r="L124" s="77">
        <f>2200000+9920000</f>
        <v>12120000</v>
      </c>
      <c r="M124" s="79">
        <f t="shared" si="1"/>
        <v>2270000</v>
      </c>
    </row>
    <row r="125" spans="1:13" ht="12.75">
      <c r="A125" s="29">
        <v>2</v>
      </c>
      <c r="B125" s="30" t="s">
        <v>63</v>
      </c>
      <c r="C125" s="10"/>
      <c r="D125" s="10"/>
      <c r="E125" s="27">
        <v>300000</v>
      </c>
      <c r="F125" s="27"/>
      <c r="G125" s="32">
        <v>196000</v>
      </c>
      <c r="H125" s="32">
        <v>140000</v>
      </c>
      <c r="I125" s="32"/>
      <c r="J125" s="32">
        <v>490000</v>
      </c>
      <c r="K125" s="32">
        <v>51398.62</v>
      </c>
      <c r="L125" s="32">
        <v>490000</v>
      </c>
      <c r="M125" s="33">
        <f t="shared" si="1"/>
        <v>0</v>
      </c>
    </row>
    <row r="126" spans="1:13" ht="12.75">
      <c r="A126" s="74">
        <v>3</v>
      </c>
      <c r="B126" s="75" t="s">
        <v>135</v>
      </c>
      <c r="C126" s="76"/>
      <c r="D126" s="76"/>
      <c r="E126" s="77">
        <v>1500000</v>
      </c>
      <c r="F126" s="77"/>
      <c r="G126" s="77">
        <v>2000000</v>
      </c>
      <c r="H126" s="77">
        <v>2000000</v>
      </c>
      <c r="I126" s="77"/>
      <c r="J126" s="77">
        <v>3850000</v>
      </c>
      <c r="K126" s="77">
        <f>1554461+162511</f>
        <v>1716972</v>
      </c>
      <c r="L126" s="77">
        <f>300000+3700000</f>
        <v>4000000</v>
      </c>
      <c r="M126" s="79">
        <f t="shared" si="1"/>
        <v>150000</v>
      </c>
    </row>
    <row r="127" spans="1:13" ht="12.75">
      <c r="A127" s="29">
        <v>4</v>
      </c>
      <c r="B127" s="30" t="s">
        <v>64</v>
      </c>
      <c r="C127" s="10"/>
      <c r="D127" s="10"/>
      <c r="E127" s="27">
        <v>550000</v>
      </c>
      <c r="F127" s="27"/>
      <c r="G127" s="32">
        <v>990000</v>
      </c>
      <c r="H127" s="32">
        <v>1500000</v>
      </c>
      <c r="I127" s="32"/>
      <c r="J127" s="32">
        <v>890000</v>
      </c>
      <c r="K127" s="32">
        <v>419448</v>
      </c>
      <c r="L127" s="32">
        <v>890000</v>
      </c>
      <c r="M127" s="33">
        <f t="shared" si="1"/>
        <v>0</v>
      </c>
    </row>
    <row r="128" spans="1:13" ht="12.75">
      <c r="A128" s="29">
        <v>5</v>
      </c>
      <c r="B128" s="30" t="s">
        <v>65</v>
      </c>
      <c r="C128" s="10"/>
      <c r="D128" s="10"/>
      <c r="E128" s="27">
        <v>50000</v>
      </c>
      <c r="F128" s="27"/>
      <c r="G128" s="32">
        <v>50000</v>
      </c>
      <c r="H128" s="32">
        <v>50000</v>
      </c>
      <c r="I128" s="32"/>
      <c r="J128" s="32">
        <v>80000</v>
      </c>
      <c r="K128" s="32">
        <v>43994</v>
      </c>
      <c r="L128" s="32">
        <v>80000</v>
      </c>
      <c r="M128" s="33">
        <f t="shared" si="1"/>
        <v>0</v>
      </c>
    </row>
    <row r="129" spans="1:13" ht="12.75">
      <c r="A129" s="29">
        <v>6</v>
      </c>
      <c r="B129" s="30" t="s">
        <v>66</v>
      </c>
      <c r="C129" s="10"/>
      <c r="D129" s="10"/>
      <c r="E129" s="27">
        <v>45703.54</v>
      </c>
      <c r="F129" s="27"/>
      <c r="G129" s="32">
        <v>220000</v>
      </c>
      <c r="H129" s="32">
        <v>300000</v>
      </c>
      <c r="I129" s="32"/>
      <c r="J129" s="32">
        <v>153110</v>
      </c>
      <c r="K129" s="32">
        <v>99663</v>
      </c>
      <c r="L129" s="32">
        <v>153110</v>
      </c>
      <c r="M129" s="33">
        <f t="shared" si="1"/>
        <v>0</v>
      </c>
    </row>
    <row r="130" spans="1:13" ht="12.75">
      <c r="A130" s="29">
        <v>7</v>
      </c>
      <c r="B130" s="30" t="s">
        <v>67</v>
      </c>
      <c r="C130" s="10"/>
      <c r="D130" s="10"/>
      <c r="E130" s="27">
        <v>10227.15</v>
      </c>
      <c r="F130" s="27"/>
      <c r="G130" s="32">
        <v>12000</v>
      </c>
      <c r="H130" s="32">
        <v>15000</v>
      </c>
      <c r="I130" s="32"/>
      <c r="J130" s="32">
        <v>49000</v>
      </c>
      <c r="K130" s="32">
        <v>888.72</v>
      </c>
      <c r="L130" s="32">
        <v>49000</v>
      </c>
      <c r="M130" s="33">
        <f t="shared" si="1"/>
        <v>0</v>
      </c>
    </row>
    <row r="131" spans="1:13" ht="12.75">
      <c r="A131" s="29">
        <v>8</v>
      </c>
      <c r="B131" s="30" t="s">
        <v>99</v>
      </c>
      <c r="C131" s="10"/>
      <c r="D131" s="10"/>
      <c r="E131" s="27"/>
      <c r="F131" s="27"/>
      <c r="G131" s="32">
        <v>430000</v>
      </c>
      <c r="H131" s="32">
        <v>540000</v>
      </c>
      <c r="I131" s="32"/>
      <c r="J131" s="32">
        <v>250000</v>
      </c>
      <c r="K131" s="32">
        <v>237688.5</v>
      </c>
      <c r="L131" s="32">
        <v>250000</v>
      </c>
      <c r="M131" s="33">
        <f t="shared" si="1"/>
        <v>0</v>
      </c>
    </row>
    <row r="132" spans="1:13" ht="12.75">
      <c r="A132" s="29">
        <v>9</v>
      </c>
      <c r="B132" s="30" t="s">
        <v>68</v>
      </c>
      <c r="C132" s="10"/>
      <c r="D132" s="10"/>
      <c r="E132" s="27">
        <v>120000</v>
      </c>
      <c r="F132" s="27"/>
      <c r="G132" s="32">
        <v>200000</v>
      </c>
      <c r="H132" s="32">
        <v>100000</v>
      </c>
      <c r="I132" s="32"/>
      <c r="J132" s="32">
        <v>80000</v>
      </c>
      <c r="K132" s="32">
        <v>33150</v>
      </c>
      <c r="L132" s="32">
        <v>80000</v>
      </c>
      <c r="M132" s="33">
        <f t="shared" si="1"/>
        <v>0</v>
      </c>
    </row>
    <row r="133" spans="1:13" ht="12.75">
      <c r="A133" s="29">
        <v>10</v>
      </c>
      <c r="B133" s="30" t="s">
        <v>89</v>
      </c>
      <c r="C133" s="10"/>
      <c r="D133" s="10"/>
      <c r="E133" s="27">
        <v>17390.82</v>
      </c>
      <c r="F133" s="27"/>
      <c r="G133" s="32">
        <v>25200</v>
      </c>
      <c r="H133" s="32">
        <v>30000</v>
      </c>
      <c r="I133" s="32"/>
      <c r="J133" s="32">
        <v>27000</v>
      </c>
      <c r="K133" s="32">
        <v>13425.9</v>
      </c>
      <c r="L133" s="32">
        <v>27000</v>
      </c>
      <c r="M133" s="33">
        <f t="shared" si="1"/>
        <v>0</v>
      </c>
    </row>
    <row r="134" spans="1:13" ht="12.75">
      <c r="A134" s="29">
        <v>11</v>
      </c>
      <c r="B134" s="30" t="s">
        <v>94</v>
      </c>
      <c r="C134" s="10"/>
      <c r="D134" s="10"/>
      <c r="E134" s="27">
        <v>1600000</v>
      </c>
      <c r="F134" s="27"/>
      <c r="G134" s="32">
        <v>5000000</v>
      </c>
      <c r="H134" s="32">
        <v>5000000</v>
      </c>
      <c r="I134" s="32"/>
      <c r="J134" s="32">
        <v>1500000</v>
      </c>
      <c r="K134" s="32">
        <v>967460.18</v>
      </c>
      <c r="L134" s="32">
        <v>1500000</v>
      </c>
      <c r="M134" s="33">
        <f t="shared" si="1"/>
        <v>0</v>
      </c>
    </row>
    <row r="135" spans="1:13" ht="12.75">
      <c r="A135" s="29">
        <v>12</v>
      </c>
      <c r="B135" s="30" t="s">
        <v>139</v>
      </c>
      <c r="C135" s="10"/>
      <c r="D135" s="10"/>
      <c r="E135" s="27"/>
      <c r="F135" s="27"/>
      <c r="G135" s="32"/>
      <c r="H135" s="32"/>
      <c r="I135" s="32"/>
      <c r="J135" s="32">
        <v>300000</v>
      </c>
      <c r="K135" s="32">
        <f>5121+98866</f>
        <v>103987</v>
      </c>
      <c r="L135" s="32">
        <v>300000</v>
      </c>
      <c r="M135" s="33">
        <f t="shared" si="1"/>
        <v>0</v>
      </c>
    </row>
    <row r="136" spans="1:13" ht="12.75">
      <c r="A136" s="74">
        <v>13</v>
      </c>
      <c r="B136" s="75" t="s">
        <v>69</v>
      </c>
      <c r="C136" s="76"/>
      <c r="D136" s="76"/>
      <c r="E136" s="77">
        <v>100000</v>
      </c>
      <c r="F136" s="77"/>
      <c r="G136" s="77">
        <v>300000</v>
      </c>
      <c r="H136" s="77">
        <v>300000</v>
      </c>
      <c r="I136" s="77"/>
      <c r="J136" s="77">
        <v>150000</v>
      </c>
      <c r="K136" s="77">
        <f>449583.48+50957</f>
        <v>500540.48</v>
      </c>
      <c r="L136" s="77">
        <v>650000</v>
      </c>
      <c r="M136" s="79">
        <f t="shared" si="1"/>
        <v>500000</v>
      </c>
    </row>
    <row r="137" spans="1:13" ht="12.75">
      <c r="A137" s="52" t="s">
        <v>30</v>
      </c>
      <c r="B137" s="55"/>
      <c r="C137" s="10"/>
      <c r="D137" s="10"/>
      <c r="E137" s="35">
        <f>SUM(E115:E136)</f>
        <v>11353321.51</v>
      </c>
      <c r="F137" s="35"/>
      <c r="G137" s="36">
        <f>SUM(G115:G136)</f>
        <v>19809200</v>
      </c>
      <c r="H137" s="36">
        <f>SUM(H115:H136)</f>
        <v>20165000</v>
      </c>
      <c r="I137" s="36"/>
      <c r="J137" s="35">
        <f>SUM(J115:J136)</f>
        <v>23238610</v>
      </c>
      <c r="K137" s="35">
        <f>SUM(K115:K136)</f>
        <v>11388413.130000003</v>
      </c>
      <c r="L137" s="35">
        <f>SUM(L115:L136)</f>
        <v>25808610</v>
      </c>
      <c r="M137" s="37">
        <f t="shared" si="1"/>
        <v>2570000</v>
      </c>
    </row>
    <row r="138" spans="1:13" ht="12.75">
      <c r="A138" s="52"/>
      <c r="B138" s="55"/>
      <c r="C138" s="10"/>
      <c r="D138" s="10"/>
      <c r="E138" s="35"/>
      <c r="F138" s="35"/>
      <c r="G138" s="36"/>
      <c r="H138" s="36"/>
      <c r="I138" s="36"/>
      <c r="J138" s="27"/>
      <c r="K138" s="27"/>
      <c r="L138" s="27"/>
      <c r="M138" s="33"/>
    </row>
    <row r="139" spans="1:13" ht="12.75">
      <c r="A139" s="25">
        <v>12</v>
      </c>
      <c r="B139" s="42" t="s">
        <v>70</v>
      </c>
      <c r="C139" s="10"/>
      <c r="D139" s="10"/>
      <c r="E139" s="35"/>
      <c r="F139" s="10"/>
      <c r="G139" s="35"/>
      <c r="H139" s="35"/>
      <c r="I139" s="35"/>
      <c r="J139" s="27"/>
      <c r="K139" s="27"/>
      <c r="L139" s="27"/>
      <c r="M139" s="33"/>
    </row>
    <row r="140" spans="1:13" ht="12.75">
      <c r="A140" s="74">
        <v>1</v>
      </c>
      <c r="B140" s="75" t="s">
        <v>71</v>
      </c>
      <c r="C140" s="76"/>
      <c r="D140" s="76"/>
      <c r="E140" s="77">
        <v>800000</v>
      </c>
      <c r="F140" s="82"/>
      <c r="G140" s="77">
        <v>800000</v>
      </c>
      <c r="H140" s="77">
        <v>500000</v>
      </c>
      <c r="I140" s="77"/>
      <c r="J140" s="77">
        <v>10000</v>
      </c>
      <c r="K140" s="77">
        <v>27.78</v>
      </c>
      <c r="L140" s="77">
        <v>2000</v>
      </c>
      <c r="M140" s="79">
        <f aca="true" t="shared" si="2" ref="M140:M175">L140-J140</f>
        <v>-8000</v>
      </c>
    </row>
    <row r="141" spans="1:13" ht="12.75">
      <c r="A141" s="52" t="s">
        <v>30</v>
      </c>
      <c r="B141" s="55"/>
      <c r="C141" s="10"/>
      <c r="D141" s="10"/>
      <c r="E141" s="35">
        <v>800000</v>
      </c>
      <c r="F141" s="54"/>
      <c r="G141" s="35">
        <f>G140</f>
        <v>800000</v>
      </c>
      <c r="H141" s="35">
        <f>H140</f>
        <v>500000</v>
      </c>
      <c r="I141" s="35"/>
      <c r="J141" s="35">
        <f>J140</f>
        <v>10000</v>
      </c>
      <c r="K141" s="35">
        <f>K140</f>
        <v>27.78</v>
      </c>
      <c r="L141" s="35">
        <f>L140</f>
        <v>2000</v>
      </c>
      <c r="M141" s="37">
        <f t="shared" si="2"/>
        <v>-8000</v>
      </c>
    </row>
    <row r="142" spans="1:13" ht="12.75">
      <c r="A142" s="52"/>
      <c r="B142" s="55"/>
      <c r="C142" s="10"/>
      <c r="D142" s="10"/>
      <c r="E142" s="35"/>
      <c r="F142" s="54"/>
      <c r="G142" s="35"/>
      <c r="H142" s="35"/>
      <c r="I142" s="35"/>
      <c r="J142" s="35"/>
      <c r="K142" s="27"/>
      <c r="L142" s="35"/>
      <c r="M142" s="33"/>
    </row>
    <row r="143" spans="1:13" ht="12.75">
      <c r="A143" s="60">
        <v>13</v>
      </c>
      <c r="B143" s="55" t="s">
        <v>115</v>
      </c>
      <c r="C143" s="10"/>
      <c r="D143" s="10"/>
      <c r="E143" s="35"/>
      <c r="F143" s="54"/>
      <c r="G143" s="35"/>
      <c r="H143" s="35"/>
      <c r="I143" s="35"/>
      <c r="J143" s="27"/>
      <c r="K143" s="27"/>
      <c r="L143" s="27"/>
      <c r="M143" s="33"/>
    </row>
    <row r="144" spans="1:13" ht="12.75">
      <c r="A144" s="29">
        <v>1</v>
      </c>
      <c r="B144" s="30" t="s">
        <v>72</v>
      </c>
      <c r="C144" s="10"/>
      <c r="D144" s="10"/>
      <c r="E144" s="27">
        <v>500000</v>
      </c>
      <c r="F144" s="31"/>
      <c r="G144" s="27">
        <v>200000</v>
      </c>
      <c r="H144" s="27">
        <v>200000</v>
      </c>
      <c r="I144" s="27"/>
      <c r="J144" s="27">
        <v>0</v>
      </c>
      <c r="K144" s="27">
        <v>0</v>
      </c>
      <c r="L144" s="27">
        <v>0</v>
      </c>
      <c r="M144" s="33">
        <f t="shared" si="2"/>
        <v>0</v>
      </c>
    </row>
    <row r="145" spans="1:13" ht="12.75">
      <c r="A145" s="52" t="s">
        <v>30</v>
      </c>
      <c r="B145" s="55"/>
      <c r="C145" s="10"/>
      <c r="D145" s="10"/>
      <c r="E145" s="35">
        <v>500000</v>
      </c>
      <c r="F145" s="54"/>
      <c r="G145" s="35">
        <v>200000</v>
      </c>
      <c r="H145" s="35">
        <v>200000</v>
      </c>
      <c r="I145" s="35"/>
      <c r="J145" s="35">
        <f>J144</f>
        <v>0</v>
      </c>
      <c r="K145" s="35">
        <f>K144</f>
        <v>0</v>
      </c>
      <c r="L145" s="35">
        <f>L144</f>
        <v>0</v>
      </c>
      <c r="M145" s="37">
        <f t="shared" si="2"/>
        <v>0</v>
      </c>
    </row>
    <row r="146" spans="1:13" ht="12.75">
      <c r="A146" s="52"/>
      <c r="B146" s="55"/>
      <c r="C146" s="10"/>
      <c r="D146" s="10"/>
      <c r="E146" s="35"/>
      <c r="F146" s="54"/>
      <c r="G146" s="35"/>
      <c r="H146" s="35"/>
      <c r="I146" s="35"/>
      <c r="J146" s="27"/>
      <c r="K146" s="27"/>
      <c r="L146" s="27"/>
      <c r="M146" s="33"/>
    </row>
    <row r="147" spans="1:13" ht="12.75">
      <c r="A147" s="60">
        <v>14</v>
      </c>
      <c r="B147" s="55" t="s">
        <v>126</v>
      </c>
      <c r="C147" s="10"/>
      <c r="D147" s="10"/>
      <c r="E147" s="35"/>
      <c r="F147" s="54"/>
      <c r="G147" s="35"/>
      <c r="H147" s="35"/>
      <c r="I147" s="35"/>
      <c r="J147" s="27"/>
      <c r="K147" s="27"/>
      <c r="L147" s="27"/>
      <c r="M147" s="33"/>
    </row>
    <row r="148" spans="1:13" ht="12.75">
      <c r="A148" s="65" t="s">
        <v>0</v>
      </c>
      <c r="B148" s="66" t="s">
        <v>73</v>
      </c>
      <c r="C148" s="10"/>
      <c r="D148" s="10"/>
      <c r="E148" s="27">
        <v>2000000</v>
      </c>
      <c r="F148" s="31"/>
      <c r="G148" s="27">
        <v>4500000</v>
      </c>
      <c r="H148" s="32">
        <v>6200000</v>
      </c>
      <c r="I148" s="32"/>
      <c r="J148" s="27">
        <v>5000000</v>
      </c>
      <c r="K148" s="27">
        <v>0</v>
      </c>
      <c r="L148" s="27">
        <v>5000000</v>
      </c>
      <c r="M148" s="33">
        <f t="shared" si="2"/>
        <v>0</v>
      </c>
    </row>
    <row r="149" spans="1:13" ht="12.75">
      <c r="A149" s="65" t="s">
        <v>1</v>
      </c>
      <c r="B149" s="66" t="s">
        <v>90</v>
      </c>
      <c r="C149" s="10"/>
      <c r="D149" s="10"/>
      <c r="E149" s="27">
        <v>1000000</v>
      </c>
      <c r="F149" s="31"/>
      <c r="G149" s="27">
        <v>1200000</v>
      </c>
      <c r="H149" s="27">
        <v>1200000</v>
      </c>
      <c r="I149" s="27"/>
      <c r="J149" s="27">
        <v>3750000</v>
      </c>
      <c r="K149" s="27">
        <f>40865.23+1269935</f>
        <v>1310800.23</v>
      </c>
      <c r="L149" s="27">
        <v>3750000</v>
      </c>
      <c r="M149" s="33">
        <f t="shared" si="2"/>
        <v>0</v>
      </c>
    </row>
    <row r="150" spans="1:13" ht="12.75">
      <c r="A150" s="52" t="s">
        <v>30</v>
      </c>
      <c r="B150" s="55"/>
      <c r="C150" s="10"/>
      <c r="D150" s="10"/>
      <c r="E150" s="35">
        <f>SUM(E148:E149)</f>
        <v>3000000</v>
      </c>
      <c r="F150" s="35"/>
      <c r="G150" s="35">
        <f>SUM(G148:G149)</f>
        <v>5700000</v>
      </c>
      <c r="H150" s="35">
        <f>H148+H149</f>
        <v>7400000</v>
      </c>
      <c r="I150" s="35"/>
      <c r="J150" s="35">
        <f>SUM(J148:J149)</f>
        <v>8750000</v>
      </c>
      <c r="K150" s="35">
        <f>SUM(K148:K149)</f>
        <v>1310800.23</v>
      </c>
      <c r="L150" s="35">
        <f>SUM(L148:L149)</f>
        <v>8750000</v>
      </c>
      <c r="M150" s="37">
        <f t="shared" si="2"/>
        <v>0</v>
      </c>
    </row>
    <row r="151" spans="1:13" ht="12.75">
      <c r="A151" s="52"/>
      <c r="B151" s="55"/>
      <c r="C151" s="10"/>
      <c r="D151" s="10"/>
      <c r="E151" s="35"/>
      <c r="F151" s="35"/>
      <c r="G151" s="35"/>
      <c r="H151" s="35"/>
      <c r="I151" s="35"/>
      <c r="J151" s="35"/>
      <c r="K151" s="27"/>
      <c r="L151" s="35"/>
      <c r="M151" s="33"/>
    </row>
    <row r="152" spans="1:14" ht="12.75">
      <c r="A152" s="108" t="s">
        <v>149</v>
      </c>
      <c r="B152" s="109"/>
      <c r="C152" s="10"/>
      <c r="D152" s="10"/>
      <c r="E152" s="35" t="e">
        <f>E56+E63+E69+E74+E88+E93+#REF!+#REF!+E137+E141+E145+E150</f>
        <v>#REF!</v>
      </c>
      <c r="F152" s="35"/>
      <c r="G152" s="35">
        <f>G56+G63+G69+G74+G88+G93+G96+G105+G108+G111+G137+G141+G145+G150</f>
        <v>250286400</v>
      </c>
      <c r="H152" s="35">
        <f>H56+H63+H69+H74+H88+H93+H96+H105+H108+H111+H137+H141+H145+H150</f>
        <v>239811200</v>
      </c>
      <c r="I152" s="35"/>
      <c r="J152" s="35">
        <f>J56+J63+J69+J74+J88+J93+J96+J105+J108+J111+J137+J141+J145+J150</f>
        <v>281158610</v>
      </c>
      <c r="K152" s="35">
        <f>K56+K63+K69+K74+K88+K93+K96+K105+K108+K111+K137+K141+K145+K150</f>
        <v>124972789.90000002</v>
      </c>
      <c r="L152" s="35">
        <f>L56+L63+L69+L74+L88+L93+L96+L105+L108+L111+L137+L141+L145+L150</f>
        <v>291344030.84000003</v>
      </c>
      <c r="M152" s="37">
        <f t="shared" si="2"/>
        <v>10185420.840000033</v>
      </c>
      <c r="N152" s="1"/>
    </row>
    <row r="153" spans="1:13" ht="12.75">
      <c r="A153" s="110" t="s">
        <v>140</v>
      </c>
      <c r="B153" s="111"/>
      <c r="C153" s="111"/>
      <c r="D153" s="111"/>
      <c r="E153" s="111"/>
      <c r="F153" s="111"/>
      <c r="G153" s="35"/>
      <c r="H153" s="35"/>
      <c r="I153" s="35"/>
      <c r="J153" s="27"/>
      <c r="K153" s="27"/>
      <c r="L153" s="27"/>
      <c r="M153" s="33"/>
    </row>
    <row r="154" spans="1:13" ht="12.75">
      <c r="A154" s="25"/>
      <c r="B154" s="26" t="s">
        <v>74</v>
      </c>
      <c r="C154" s="10"/>
      <c r="D154" s="10"/>
      <c r="E154" s="27"/>
      <c r="F154" s="27"/>
      <c r="G154" s="35"/>
      <c r="H154" s="35"/>
      <c r="I154" s="35"/>
      <c r="J154" s="27"/>
      <c r="K154" s="27"/>
      <c r="L154" s="27"/>
      <c r="M154" s="33"/>
    </row>
    <row r="155" spans="1:13" ht="12.75">
      <c r="A155" s="29">
        <v>1</v>
      </c>
      <c r="B155" s="30" t="s">
        <v>75</v>
      </c>
      <c r="C155" s="10"/>
      <c r="D155" s="10"/>
      <c r="E155" s="27">
        <v>3400000</v>
      </c>
      <c r="F155" s="27"/>
      <c r="G155" s="27">
        <f>G11</f>
        <v>3000000</v>
      </c>
      <c r="H155" s="27">
        <f>H11</f>
        <v>3100000</v>
      </c>
      <c r="I155" s="27"/>
      <c r="J155" s="27">
        <f>J11</f>
        <v>6100000</v>
      </c>
      <c r="K155" s="27">
        <f>K11</f>
        <v>4470685.14</v>
      </c>
      <c r="L155" s="27">
        <f>L11</f>
        <v>8100000</v>
      </c>
      <c r="M155" s="33">
        <f t="shared" si="2"/>
        <v>2000000</v>
      </c>
    </row>
    <row r="156" spans="1:13" ht="25.5">
      <c r="A156" s="29">
        <v>2</v>
      </c>
      <c r="B156" s="67" t="s">
        <v>137</v>
      </c>
      <c r="C156" s="10"/>
      <c r="D156" s="10"/>
      <c r="E156" s="27"/>
      <c r="F156" s="27"/>
      <c r="G156" s="27"/>
      <c r="H156" s="27"/>
      <c r="I156" s="27"/>
      <c r="J156" s="27">
        <f>J14</f>
        <v>1500000</v>
      </c>
      <c r="K156" s="27">
        <f>K14</f>
        <v>0</v>
      </c>
      <c r="L156" s="27">
        <f>L14</f>
        <v>1500000</v>
      </c>
      <c r="M156" s="33">
        <f t="shared" si="2"/>
        <v>0</v>
      </c>
    </row>
    <row r="157" spans="1:13" ht="12.75">
      <c r="A157" s="29">
        <v>3</v>
      </c>
      <c r="B157" s="30" t="s">
        <v>76</v>
      </c>
      <c r="C157" s="10"/>
      <c r="D157" s="10"/>
      <c r="E157" s="27">
        <v>163529323.2</v>
      </c>
      <c r="F157" s="27"/>
      <c r="G157" s="27">
        <f>G40</f>
        <v>236265000</v>
      </c>
      <c r="H157" s="27">
        <f>H40</f>
        <v>226850000</v>
      </c>
      <c r="I157" s="27"/>
      <c r="J157" s="27">
        <f>J40</f>
        <v>254890000</v>
      </c>
      <c r="K157" s="27">
        <f>K40</f>
        <v>114162945.13999999</v>
      </c>
      <c r="L157" s="27">
        <f>L40</f>
        <v>261390000</v>
      </c>
      <c r="M157" s="33">
        <f t="shared" si="2"/>
        <v>6500000</v>
      </c>
    </row>
    <row r="158" spans="1:13" ht="12.75">
      <c r="A158" s="29">
        <v>4</v>
      </c>
      <c r="B158" s="30" t="s">
        <v>95</v>
      </c>
      <c r="C158" s="10"/>
      <c r="D158" s="10"/>
      <c r="E158" s="27">
        <v>5800000</v>
      </c>
      <c r="F158" s="27"/>
      <c r="G158" s="27">
        <f>G45</f>
        <v>13700000</v>
      </c>
      <c r="H158" s="27">
        <f>H45</f>
        <v>13200000</v>
      </c>
      <c r="I158" s="27"/>
      <c r="J158" s="27">
        <f>J45</f>
        <v>6000000</v>
      </c>
      <c r="K158" s="27">
        <f>K45</f>
        <v>1689707.05</v>
      </c>
      <c r="L158" s="27">
        <f>L45</f>
        <v>7523420.84</v>
      </c>
      <c r="M158" s="33">
        <f t="shared" si="2"/>
        <v>1523420.8399999999</v>
      </c>
    </row>
    <row r="159" spans="1:13" ht="12.75">
      <c r="A159" s="29">
        <v>5</v>
      </c>
      <c r="B159" s="30" t="s">
        <v>77</v>
      </c>
      <c r="C159" s="10"/>
      <c r="D159" s="10"/>
      <c r="E159" s="27">
        <v>4500000</v>
      </c>
      <c r="F159" s="27"/>
      <c r="G159" s="27">
        <f>G51</f>
        <v>3500000</v>
      </c>
      <c r="H159" s="27">
        <f>H51</f>
        <v>3000000</v>
      </c>
      <c r="I159" s="27"/>
      <c r="J159" s="27">
        <f>J49</f>
        <v>13000000</v>
      </c>
      <c r="K159" s="27">
        <f>K49</f>
        <v>2094735.6500000001</v>
      </c>
      <c r="L159" s="27">
        <f>L49</f>
        <v>13000000</v>
      </c>
      <c r="M159" s="33">
        <f t="shared" si="2"/>
        <v>0</v>
      </c>
    </row>
    <row r="160" spans="1:13" ht="12.75">
      <c r="A160" s="25" t="s">
        <v>138</v>
      </c>
      <c r="B160" s="42" t="s">
        <v>128</v>
      </c>
      <c r="C160" s="10"/>
      <c r="D160" s="10"/>
      <c r="E160" s="35">
        <f>SUM(E155:E159)</f>
        <v>177229323.2</v>
      </c>
      <c r="F160" s="35"/>
      <c r="G160" s="35">
        <f>SUM(G155:G159)</f>
        <v>256465000</v>
      </c>
      <c r="H160" s="35">
        <f>SUM(H155:H159)</f>
        <v>246150000</v>
      </c>
      <c r="I160" s="35"/>
      <c r="J160" s="35">
        <f>J155+J156+J157+J158+J159</f>
        <v>281490000</v>
      </c>
      <c r="K160" s="35">
        <f>SUM(K155:K159)</f>
        <v>122418072.97999999</v>
      </c>
      <c r="L160" s="35">
        <f>L155+L156+L157+L158+L159</f>
        <v>291513420.84</v>
      </c>
      <c r="M160" s="37">
        <f t="shared" si="2"/>
        <v>10023420.839999974</v>
      </c>
    </row>
    <row r="161" spans="1:13" ht="12.75">
      <c r="A161" s="29">
        <v>6</v>
      </c>
      <c r="B161" s="30" t="s">
        <v>27</v>
      </c>
      <c r="C161" s="10"/>
      <c r="D161" s="10"/>
      <c r="E161" s="27">
        <v>2400000</v>
      </c>
      <c r="F161" s="27"/>
      <c r="G161" s="27">
        <f>G56</f>
        <v>2200000</v>
      </c>
      <c r="H161" s="27">
        <f>H56</f>
        <v>2400000</v>
      </c>
      <c r="I161" s="27"/>
      <c r="J161" s="27">
        <f>J56</f>
        <v>3000000</v>
      </c>
      <c r="K161" s="27">
        <f>K56</f>
        <v>2942418.7</v>
      </c>
      <c r="L161" s="27">
        <f>L56</f>
        <v>4500000</v>
      </c>
      <c r="M161" s="33">
        <f t="shared" si="2"/>
        <v>1500000</v>
      </c>
    </row>
    <row r="162" spans="1:13" ht="12.75">
      <c r="A162" s="29">
        <v>7</v>
      </c>
      <c r="B162" s="30" t="s">
        <v>78</v>
      </c>
      <c r="C162" s="10"/>
      <c r="D162" s="10"/>
      <c r="E162" s="27">
        <v>12220000</v>
      </c>
      <c r="F162" s="27"/>
      <c r="G162" s="27">
        <f>G63</f>
        <v>25751000</v>
      </c>
      <c r="H162" s="27">
        <f>H63</f>
        <v>22180000</v>
      </c>
      <c r="I162" s="27"/>
      <c r="J162" s="27">
        <f>J63</f>
        <v>31095000</v>
      </c>
      <c r="K162" s="27">
        <f>K63</f>
        <v>7341445.890000001</v>
      </c>
      <c r="L162" s="27">
        <f>L63</f>
        <v>34295000</v>
      </c>
      <c r="M162" s="33">
        <f t="shared" si="2"/>
        <v>3200000</v>
      </c>
    </row>
    <row r="163" spans="1:13" ht="12.75">
      <c r="A163" s="29">
        <v>8</v>
      </c>
      <c r="B163" s="30" t="s">
        <v>79</v>
      </c>
      <c r="C163" s="10"/>
      <c r="D163" s="10"/>
      <c r="E163" s="27">
        <v>20260000</v>
      </c>
      <c r="F163" s="27"/>
      <c r="G163" s="27">
        <f>G69</f>
        <v>34300000</v>
      </c>
      <c r="H163" s="27">
        <f>H69</f>
        <v>29300000</v>
      </c>
      <c r="I163" s="27"/>
      <c r="J163" s="27">
        <f>J69</f>
        <v>25600000</v>
      </c>
      <c r="K163" s="27">
        <f>K69</f>
        <v>12370085.41</v>
      </c>
      <c r="L163" s="27">
        <f>L69</f>
        <v>25400000</v>
      </c>
      <c r="M163" s="33">
        <f t="shared" si="2"/>
        <v>-200000</v>
      </c>
    </row>
    <row r="164" spans="1:13" ht="12.75">
      <c r="A164" s="29">
        <v>9</v>
      </c>
      <c r="B164" s="30" t="s">
        <v>40</v>
      </c>
      <c r="C164" s="10"/>
      <c r="D164" s="10"/>
      <c r="E164" s="27">
        <v>92809306</v>
      </c>
      <c r="F164" s="27"/>
      <c r="G164" s="27">
        <f>G74</f>
        <v>115996200</v>
      </c>
      <c r="H164" s="27">
        <f>H74</f>
        <v>113591200</v>
      </c>
      <c r="I164" s="27"/>
      <c r="J164" s="27">
        <f>J74</f>
        <v>125280000</v>
      </c>
      <c r="K164" s="27">
        <f>K74</f>
        <v>59996173.2</v>
      </c>
      <c r="L164" s="27">
        <f>L74</f>
        <v>125280000</v>
      </c>
      <c r="M164" s="33">
        <f t="shared" si="2"/>
        <v>0</v>
      </c>
    </row>
    <row r="165" spans="1:13" ht="12.75">
      <c r="A165" s="29">
        <v>10</v>
      </c>
      <c r="B165" s="30" t="s">
        <v>80</v>
      </c>
      <c r="C165" s="10"/>
      <c r="D165" s="10"/>
      <c r="E165" s="27">
        <v>10651748</v>
      </c>
      <c r="F165" s="27"/>
      <c r="G165" s="27">
        <f>G88+G93+G96</f>
        <v>18318000</v>
      </c>
      <c r="H165" s="27">
        <f>H88+H93+H96</f>
        <v>19055000</v>
      </c>
      <c r="I165" s="27"/>
      <c r="J165" s="27">
        <f>J88+J93</f>
        <v>30065000</v>
      </c>
      <c r="K165" s="27">
        <f>K88+K93+K96</f>
        <v>13343136.55</v>
      </c>
      <c r="L165" s="27">
        <f>L88+L93</f>
        <v>34588420.84</v>
      </c>
      <c r="M165" s="33">
        <f t="shared" si="2"/>
        <v>4523420.840000004</v>
      </c>
    </row>
    <row r="166" spans="1:13" ht="12.75">
      <c r="A166" s="29">
        <v>11</v>
      </c>
      <c r="B166" s="30" t="s">
        <v>145</v>
      </c>
      <c r="C166" s="10"/>
      <c r="D166" s="10"/>
      <c r="E166" s="27"/>
      <c r="F166" s="27"/>
      <c r="G166" s="27"/>
      <c r="H166" s="27"/>
      <c r="I166" s="27"/>
      <c r="J166" s="27">
        <v>1000000</v>
      </c>
      <c r="K166" s="27">
        <v>0</v>
      </c>
      <c r="L166" s="27">
        <v>1000000</v>
      </c>
      <c r="M166" s="33">
        <f t="shared" si="2"/>
        <v>0</v>
      </c>
    </row>
    <row r="167" spans="1:13" ht="12.75">
      <c r="A167" s="29">
        <v>12</v>
      </c>
      <c r="B167" s="30" t="s">
        <v>81</v>
      </c>
      <c r="C167" s="10"/>
      <c r="D167" s="10"/>
      <c r="E167" s="27">
        <v>8085000</v>
      </c>
      <c r="F167" s="27"/>
      <c r="G167" s="27">
        <f>G105</f>
        <v>11042000</v>
      </c>
      <c r="H167" s="27">
        <f>H105</f>
        <v>8850000</v>
      </c>
      <c r="I167" s="27"/>
      <c r="J167" s="27">
        <f>J105</f>
        <v>12020000</v>
      </c>
      <c r="K167" s="27">
        <f>K105</f>
        <v>3734476.34</v>
      </c>
      <c r="L167" s="27">
        <f>L105</f>
        <v>10620000</v>
      </c>
      <c r="M167" s="33">
        <f t="shared" si="2"/>
        <v>-1400000</v>
      </c>
    </row>
    <row r="168" spans="1:13" ht="12.75">
      <c r="A168" s="29">
        <v>13</v>
      </c>
      <c r="B168" s="30" t="s">
        <v>105</v>
      </c>
      <c r="C168" s="10"/>
      <c r="D168" s="10"/>
      <c r="E168" s="27"/>
      <c r="F168" s="27"/>
      <c r="G168" s="27">
        <f>G108</f>
        <v>70000</v>
      </c>
      <c r="H168" s="27">
        <f>H108</f>
        <v>70000</v>
      </c>
      <c r="I168" s="27"/>
      <c r="J168" s="27">
        <f>J108</f>
        <v>800000</v>
      </c>
      <c r="K168" s="27">
        <f>K108</f>
        <v>304883.05</v>
      </c>
      <c r="L168" s="27">
        <f>L108</f>
        <v>800000</v>
      </c>
      <c r="M168" s="33">
        <f t="shared" si="2"/>
        <v>0</v>
      </c>
    </row>
    <row r="169" spans="1:13" ht="12.75">
      <c r="A169" s="29">
        <v>14</v>
      </c>
      <c r="B169" s="30" t="s">
        <v>82</v>
      </c>
      <c r="C169" s="10"/>
      <c r="D169" s="10"/>
      <c r="E169" s="27">
        <v>13300000</v>
      </c>
      <c r="F169" s="27"/>
      <c r="G169" s="27">
        <f>G111</f>
        <v>16100000</v>
      </c>
      <c r="H169" s="27">
        <f>H111</f>
        <v>16100000</v>
      </c>
      <c r="I169" s="27"/>
      <c r="J169" s="27">
        <f>J111</f>
        <v>20300000</v>
      </c>
      <c r="K169" s="27">
        <f>K111</f>
        <v>12240929.62</v>
      </c>
      <c r="L169" s="27">
        <f>L111</f>
        <v>20300000</v>
      </c>
      <c r="M169" s="33">
        <f t="shared" si="2"/>
        <v>0</v>
      </c>
    </row>
    <row r="170" spans="1:13" ht="12.75">
      <c r="A170" s="29">
        <v>15</v>
      </c>
      <c r="B170" s="30" t="s">
        <v>55</v>
      </c>
      <c r="C170" s="10"/>
      <c r="D170" s="10"/>
      <c r="E170" s="27">
        <v>13098201.51</v>
      </c>
      <c r="F170" s="27"/>
      <c r="G170" s="27">
        <f>G137</f>
        <v>19809200</v>
      </c>
      <c r="H170" s="27">
        <f>H137</f>
        <v>20165000</v>
      </c>
      <c r="I170" s="27"/>
      <c r="J170" s="27">
        <f>J137</f>
        <v>23238610</v>
      </c>
      <c r="K170" s="27">
        <f>K137</f>
        <v>11388413.130000003</v>
      </c>
      <c r="L170" s="27">
        <f>L137</f>
        <v>25808610</v>
      </c>
      <c r="M170" s="33">
        <f t="shared" si="2"/>
        <v>2570000</v>
      </c>
    </row>
    <row r="171" spans="1:13" ht="12.75">
      <c r="A171" s="29">
        <v>16</v>
      </c>
      <c r="B171" s="30" t="s">
        <v>71</v>
      </c>
      <c r="C171" s="10"/>
      <c r="D171" s="10"/>
      <c r="E171" s="27">
        <v>800000</v>
      </c>
      <c r="F171" s="27"/>
      <c r="G171" s="27">
        <f>G141</f>
        <v>800000</v>
      </c>
      <c r="H171" s="27">
        <f>H141</f>
        <v>500000</v>
      </c>
      <c r="I171" s="27"/>
      <c r="J171" s="27">
        <f>J141</f>
        <v>10000</v>
      </c>
      <c r="K171" s="27">
        <f>K141</f>
        <v>27.78</v>
      </c>
      <c r="L171" s="27">
        <f>L141</f>
        <v>2000</v>
      </c>
      <c r="M171" s="33">
        <f t="shared" si="2"/>
        <v>-8000</v>
      </c>
    </row>
    <row r="172" spans="1:13" ht="12.75">
      <c r="A172" s="29">
        <v>17</v>
      </c>
      <c r="B172" s="30" t="s">
        <v>72</v>
      </c>
      <c r="C172" s="10"/>
      <c r="D172" s="10"/>
      <c r="E172" s="27">
        <v>500000</v>
      </c>
      <c r="F172" s="27"/>
      <c r="G172" s="27">
        <f>G145</f>
        <v>200000</v>
      </c>
      <c r="H172" s="27">
        <f>H145</f>
        <v>200000</v>
      </c>
      <c r="I172" s="27"/>
      <c r="J172" s="27">
        <f>J145</f>
        <v>0</v>
      </c>
      <c r="K172" s="27">
        <f>K145</f>
        <v>0</v>
      </c>
      <c r="L172" s="27">
        <f>L145</f>
        <v>0</v>
      </c>
      <c r="M172" s="33">
        <f t="shared" si="2"/>
        <v>0</v>
      </c>
    </row>
    <row r="173" spans="1:13" ht="12.75">
      <c r="A173" s="29">
        <v>18</v>
      </c>
      <c r="B173" s="66" t="s">
        <v>83</v>
      </c>
      <c r="C173" s="10"/>
      <c r="D173" s="10"/>
      <c r="E173" s="27">
        <v>2000000</v>
      </c>
      <c r="F173" s="27"/>
      <c r="G173" s="27">
        <f>G148</f>
        <v>4500000</v>
      </c>
      <c r="H173" s="27">
        <f>H148</f>
        <v>6200000</v>
      </c>
      <c r="I173" s="27"/>
      <c r="J173" s="27">
        <f aca="true" t="shared" si="3" ref="J173:L174">J148</f>
        <v>5000000</v>
      </c>
      <c r="K173" s="27">
        <f t="shared" si="3"/>
        <v>0</v>
      </c>
      <c r="L173" s="27">
        <f t="shared" si="3"/>
        <v>5000000</v>
      </c>
      <c r="M173" s="33">
        <f t="shared" si="2"/>
        <v>0</v>
      </c>
    </row>
    <row r="174" spans="1:13" ht="12.75">
      <c r="A174" s="29">
        <v>19</v>
      </c>
      <c r="B174" s="66" t="s">
        <v>143</v>
      </c>
      <c r="C174" s="10"/>
      <c r="D174" s="10"/>
      <c r="E174" s="27">
        <v>1000000</v>
      </c>
      <c r="F174" s="27"/>
      <c r="G174" s="27">
        <f>G149</f>
        <v>1200000</v>
      </c>
      <c r="H174" s="27">
        <f>H149</f>
        <v>1200000</v>
      </c>
      <c r="I174" s="27"/>
      <c r="J174" s="27">
        <f t="shared" si="3"/>
        <v>3750000</v>
      </c>
      <c r="K174" s="27">
        <f t="shared" si="3"/>
        <v>1310800.23</v>
      </c>
      <c r="L174" s="27">
        <f t="shared" si="3"/>
        <v>3750000</v>
      </c>
      <c r="M174" s="33">
        <f t="shared" si="2"/>
        <v>0</v>
      </c>
    </row>
    <row r="175" spans="1:17" ht="12.75">
      <c r="A175" s="25" t="s">
        <v>136</v>
      </c>
      <c r="B175" s="42" t="s">
        <v>129</v>
      </c>
      <c r="C175" s="10"/>
      <c r="D175" s="10"/>
      <c r="E175" s="35">
        <f>SUM(E161:E174)</f>
        <v>177124255.51</v>
      </c>
      <c r="F175" s="35"/>
      <c r="G175" s="35">
        <f>SUM(G161:G174)</f>
        <v>250286400</v>
      </c>
      <c r="H175" s="35">
        <f>SUM(H161:H174)</f>
        <v>239811200</v>
      </c>
      <c r="I175" s="35"/>
      <c r="J175" s="35">
        <f>J161+J162+J163+J164+J165+J166+J167+J168+J169+J170+J171+J172+J173+J174</f>
        <v>281158610</v>
      </c>
      <c r="K175" s="35">
        <f>SUM(K161:K174)</f>
        <v>124972789.90000002</v>
      </c>
      <c r="L175" s="35">
        <f>L161+L162+L163+L164+L165+L166+L167+L168+L169+L170+L171+L172+L173+L174</f>
        <v>291344030.84000003</v>
      </c>
      <c r="M175" s="37">
        <f t="shared" si="2"/>
        <v>10185420.840000033</v>
      </c>
      <c r="N175" s="1"/>
      <c r="O175" s="1"/>
      <c r="Q175" s="1"/>
    </row>
    <row r="176" spans="1:14" ht="13.5" thickBot="1">
      <c r="A176" s="100" t="s">
        <v>151</v>
      </c>
      <c r="B176" s="101"/>
      <c r="C176" s="14"/>
      <c r="D176" s="14"/>
      <c r="E176" s="68">
        <f>E160-E175</f>
        <v>105067.68999999762</v>
      </c>
      <c r="F176" s="68"/>
      <c r="G176" s="68">
        <f>G160-G175</f>
        <v>6178600</v>
      </c>
      <c r="H176" s="68">
        <f>H160-H175</f>
        <v>6338800</v>
      </c>
      <c r="I176" s="68"/>
      <c r="J176" s="68">
        <f>J160-J175</f>
        <v>331390</v>
      </c>
      <c r="K176" s="68">
        <f>K160-K175</f>
        <v>-2554716.9200000316</v>
      </c>
      <c r="L176" s="68">
        <f>L160-L175</f>
        <v>169389.9999999404</v>
      </c>
      <c r="M176" s="73"/>
      <c r="N176" s="1"/>
    </row>
    <row r="177" spans="1:14" ht="12.75">
      <c r="A177" s="69"/>
      <c r="B177" s="69"/>
      <c r="C177" s="70"/>
      <c r="D177" s="70"/>
      <c r="E177" s="71"/>
      <c r="F177" s="71"/>
      <c r="G177" s="71"/>
      <c r="H177" s="71"/>
      <c r="I177" s="71"/>
      <c r="J177" s="71"/>
      <c r="K177" s="71"/>
      <c r="L177" s="71"/>
      <c r="M177" s="72"/>
      <c r="N177" s="1"/>
    </row>
    <row r="178" spans="1:14" ht="12.75">
      <c r="A178" s="69"/>
      <c r="B178" s="69"/>
      <c r="C178" s="70"/>
      <c r="D178" s="70"/>
      <c r="E178" s="71"/>
      <c r="F178" s="71"/>
      <c r="G178" s="71"/>
      <c r="H178" s="71"/>
      <c r="I178" s="71"/>
      <c r="J178" s="71"/>
      <c r="K178" s="71"/>
      <c r="L178" s="71"/>
      <c r="M178" s="72"/>
      <c r="N178" s="1"/>
    </row>
    <row r="179" spans="1:13" ht="12.75">
      <c r="A179" s="102" t="s">
        <v>141</v>
      </c>
      <c r="B179" s="102"/>
      <c r="C179" s="102"/>
      <c r="D179" s="102"/>
      <c r="E179" s="102"/>
      <c r="F179" s="102"/>
      <c r="G179" s="102"/>
      <c r="H179" s="102"/>
      <c r="I179" s="102"/>
      <c r="J179" s="102"/>
      <c r="K179" s="102"/>
      <c r="L179" s="102"/>
      <c r="M179" s="102"/>
    </row>
    <row r="180" spans="1:13" ht="12.75">
      <c r="A180" s="102" t="s">
        <v>132</v>
      </c>
      <c r="B180" s="102"/>
      <c r="C180" s="102"/>
      <c r="D180" s="102"/>
      <c r="E180" s="102"/>
      <c r="F180" s="102"/>
      <c r="G180" s="102"/>
      <c r="H180" s="102"/>
      <c r="I180" s="102"/>
      <c r="J180" s="102"/>
      <c r="K180" s="102"/>
      <c r="L180" s="102"/>
      <c r="M180" s="102"/>
    </row>
    <row r="181" spans="1:13" ht="12.7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</row>
    <row r="182" spans="2:17" ht="12.75">
      <c r="B182" s="84"/>
      <c r="C182" s="103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Q182" s="1"/>
    </row>
    <row r="183" ht="12.75">
      <c r="N183" s="1"/>
    </row>
    <row r="184" ht="12.75">
      <c r="N184" s="1"/>
    </row>
    <row r="185" ht="12.75">
      <c r="N185" s="1"/>
    </row>
  </sheetData>
  <sheetProtection/>
  <mergeCells count="19">
    <mergeCell ref="B182:M182"/>
    <mergeCell ref="A11:B11"/>
    <mergeCell ref="A14:B14"/>
    <mergeCell ref="A16:B16"/>
    <mergeCell ref="A51:B51"/>
    <mergeCell ref="A152:B152"/>
    <mergeCell ref="A153:F153"/>
    <mergeCell ref="L4:L6"/>
    <mergeCell ref="M4:M6"/>
    <mergeCell ref="A3:M3"/>
    <mergeCell ref="A176:B176"/>
    <mergeCell ref="A179:M179"/>
    <mergeCell ref="A180:M180"/>
    <mergeCell ref="A1:B1"/>
    <mergeCell ref="A2:B2"/>
    <mergeCell ref="A4:B6"/>
    <mergeCell ref="H4:H6"/>
    <mergeCell ref="J4:J6"/>
    <mergeCell ref="K4:K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komunalac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Spomenka Milošević</dc:creator>
  <cp:keywords/>
  <dc:description/>
  <cp:lastModifiedBy>spomenka.milosevic@jpkk.rs</cp:lastModifiedBy>
  <cp:lastPrinted>2021-08-27T08:20:31Z</cp:lastPrinted>
  <dcterms:created xsi:type="dcterms:W3CDTF">2009-12-15T06:47:50Z</dcterms:created>
  <dcterms:modified xsi:type="dcterms:W3CDTF">2021-12-24T06:19:46Z</dcterms:modified>
  <cp:category/>
  <cp:version/>
  <cp:contentType/>
  <cp:contentStatus/>
</cp:coreProperties>
</file>