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activeTab="0"/>
  </bookViews>
  <sheets>
    <sheet name="Fin.plana za 2022." sheetId="1" r:id="rId1"/>
  </sheets>
  <definedNames/>
  <calcPr fullCalcOnLoad="1"/>
</workbook>
</file>

<file path=xl/sharedStrings.xml><?xml version="1.0" encoding="utf-8"?>
<sst xmlns="http://schemas.openxmlformats.org/spreadsheetml/2006/main" count="171" uniqueCount="154">
  <si>
    <t>1</t>
  </si>
  <si>
    <t>2</t>
  </si>
  <si>
    <t>Procena realizac.</t>
  </si>
  <si>
    <t>ЈП"КОВИНСКИ КОМУНАЛАЦ" КОВИН</t>
  </si>
  <si>
    <t>ПРИХОДИ ОД ПРОДАЈЕ РОБЕ</t>
  </si>
  <si>
    <t>Продаја погребне опреме</t>
  </si>
  <si>
    <t>Продаја опсег рамова</t>
  </si>
  <si>
    <t>УКУПНО ОД ПРОДАЈЕ РОБЕ:</t>
  </si>
  <si>
    <t>ПРИХОДИ ОД ПРОДАЈЕ УСЛУГА</t>
  </si>
  <si>
    <t xml:space="preserve">Ковин  </t>
  </si>
  <si>
    <t>Гај</t>
  </si>
  <si>
    <t>Делиблато</t>
  </si>
  <si>
    <t>Мраморак</t>
  </si>
  <si>
    <t>Плочица</t>
  </si>
  <si>
    <t>Скореновац</t>
  </si>
  <si>
    <t>Мало Баваниште</t>
  </si>
  <si>
    <t>Шумарак</t>
  </si>
  <si>
    <t>Дубовац</t>
  </si>
  <si>
    <t>Канализација</t>
  </si>
  <si>
    <t>Димничарска служба</t>
  </si>
  <si>
    <t>Грађевинска оператива</t>
  </si>
  <si>
    <t>Одржавање стамбених зграда</t>
  </si>
  <si>
    <t>Приходи радне заједнице</t>
  </si>
  <si>
    <t>УКУПНО ОД ПРОДАЈЕ УСЛУГА:</t>
  </si>
  <si>
    <t>Приходи од камата</t>
  </si>
  <si>
    <t>Остали непословни и ванредни приходи</t>
  </si>
  <si>
    <t>РАСХОДИ</t>
  </si>
  <si>
    <t>Расходи од продаје робе</t>
  </si>
  <si>
    <t>РАСХОДИ ОД ПРОДАЈЕ РОБЕ</t>
  </si>
  <si>
    <t>Наб.вредн.прод.робе и тр.израде опс.рамова</t>
  </si>
  <si>
    <t>УКУПНО:</t>
  </si>
  <si>
    <t>Материјал за израду</t>
  </si>
  <si>
    <t>Резервни делови</t>
  </si>
  <si>
    <t>Трошкови отписа ситног инвентара</t>
  </si>
  <si>
    <t>Канцеларијски материјал</t>
  </si>
  <si>
    <t>ТРОШКОВИ ГОРИВА И ЕНЕРГИЈЕ</t>
  </si>
  <si>
    <t>Гориво</t>
  </si>
  <si>
    <t>Електрична енергија</t>
  </si>
  <si>
    <t>Трошкови грејања</t>
  </si>
  <si>
    <t>ТРОШКОВИ ЗАРАДА</t>
  </si>
  <si>
    <t>Трошкови зарада</t>
  </si>
  <si>
    <t>Допринос за ПИО и коморе</t>
  </si>
  <si>
    <t>ОСТАЛИ ЛИЧНИ РАСХОДИ</t>
  </si>
  <si>
    <t>Солидарна помоћ</t>
  </si>
  <si>
    <t>Пакетићи</t>
  </si>
  <si>
    <t>Исхрана на сл.путовању</t>
  </si>
  <si>
    <t>Трошкови накнаде</t>
  </si>
  <si>
    <t>Трошкови превоза радника</t>
  </si>
  <si>
    <t>Уговор о делу</t>
  </si>
  <si>
    <t>Привремено повремени послови</t>
  </si>
  <si>
    <t>ТРОШКОВИ ПРОИЗВОДНИХ УСЛУГА</t>
  </si>
  <si>
    <t>Трошкови превоза</t>
  </si>
  <si>
    <t>ТРОШКОВИ АМОРТИЗАЦИЈЕ</t>
  </si>
  <si>
    <t>Амортизација</t>
  </si>
  <si>
    <t>НЕМАТЕРИЈАЛНИ ТРОШКОВИ</t>
  </si>
  <si>
    <t>Нематеријални трошкови</t>
  </si>
  <si>
    <t xml:space="preserve"> -анализа воде</t>
  </si>
  <si>
    <t>- услуге Савезног завод за мерење</t>
  </si>
  <si>
    <t>- здравствене услуге</t>
  </si>
  <si>
    <t>- трошкови саветовања</t>
  </si>
  <si>
    <t>- стручно образовање</t>
  </si>
  <si>
    <t>- трошкови сервисирања водомера</t>
  </si>
  <si>
    <t xml:space="preserve"> - oстале непроизводне услуге</t>
  </si>
  <si>
    <t>Трошкови репрезентације</t>
  </si>
  <si>
    <t>Трошкови платног промета</t>
  </si>
  <si>
    <t>Трошкови чланарина</t>
  </si>
  <si>
    <t>Трошкови пореза на имовину</t>
  </si>
  <si>
    <t>Трошкови одводњавања</t>
  </si>
  <si>
    <t>Трошкови огласа</t>
  </si>
  <si>
    <t>Остали нематеријални трошкови</t>
  </si>
  <si>
    <t>ТРОШКОВИ КАМАТА</t>
  </si>
  <si>
    <t>Трошкови камата</t>
  </si>
  <si>
    <t>Oстали непос.и ван.рас.-обезвређ.пот.и зал.</t>
  </si>
  <si>
    <t>ОПИС</t>
  </si>
  <si>
    <t>Приходи од продаје робе</t>
  </si>
  <si>
    <t>Приходи од продаје услуга</t>
  </si>
  <si>
    <t>Остали непословни и ван.приходи</t>
  </si>
  <si>
    <t>Трошкови материјала</t>
  </si>
  <si>
    <t>Трошкови горива и енергије</t>
  </si>
  <si>
    <t>Остали лични расходи</t>
  </si>
  <si>
    <t>Трошкови производних услуга</t>
  </si>
  <si>
    <t>Трошкови амортизације</t>
  </si>
  <si>
    <t>Остали непословни и ванредни расходи</t>
  </si>
  <si>
    <t>Приходи од дотације,субвенције и премија</t>
  </si>
  <si>
    <t>Трошкови интернета</t>
  </si>
  <si>
    <t>Трошкови одржавања основних средстава</t>
  </si>
  <si>
    <t>Трошкови комуналних услуга</t>
  </si>
  <si>
    <t>-трошкови услуге ревизије фин.извештаја</t>
  </si>
  <si>
    <t>Комунална такса за предузеће</t>
  </si>
  <si>
    <t>Остали непоменути расходи</t>
  </si>
  <si>
    <t xml:space="preserve">  plana  za 2010.</t>
  </si>
  <si>
    <t>Ребаланс плана</t>
  </si>
  <si>
    <t>зa 2010.гoд.</t>
  </si>
  <si>
    <t>Таксе за судске трошкове и тр.спорова</t>
  </si>
  <si>
    <t>Финансијски приходи</t>
  </si>
  <si>
    <t>Дневнице за сл.пут у иностранство</t>
  </si>
  <si>
    <t>Трошк.накнаде-употреба соп.возила</t>
  </si>
  <si>
    <t>Јубиларне награде</t>
  </si>
  <si>
    <t>Часописи стручна литература</t>
  </si>
  <si>
    <t>ТРОШКОВИ МАТЕРИЈАЛА</t>
  </si>
  <si>
    <t xml:space="preserve">Отпремнина за пензију </t>
  </si>
  <si>
    <t>Приходи од укидања резерв.отпремнина</t>
  </si>
  <si>
    <t xml:space="preserve">Приходи од накнаде за мерно место </t>
  </si>
  <si>
    <t>Прихватилиште за псе</t>
  </si>
  <si>
    <t>Трошкови закупа-архива</t>
  </si>
  <si>
    <t>Трошкови транспортних услуга i ПТТ услуге</t>
  </si>
  <si>
    <t>ФИНАНСИЈСКИ  ПРИХОДИ</t>
  </si>
  <si>
    <t>ОСТАЛИ НЕПОСЛОВ.И ВАНРЕДНИ ПРИХ.</t>
  </si>
  <si>
    <t>Трошкови закупа пословног простора</t>
  </si>
  <si>
    <t>Приходи од гробља у насељеним местима</t>
  </si>
  <si>
    <t>Приходи од пијаца у насељеним местима</t>
  </si>
  <si>
    <t xml:space="preserve">ФИНАНСИЈСКИ </t>
  </si>
  <si>
    <t>ПЛАН ЗА 2015.</t>
  </si>
  <si>
    <t>Отпремнина за случај отпуштања са посла</t>
  </si>
  <si>
    <t>Смеће</t>
  </si>
  <si>
    <t>Чистоћа,зеленило и зимска служба</t>
  </si>
  <si>
    <t>Примања чланова  надзорног одбора</t>
  </si>
  <si>
    <t>ФИНАНСИЈСКИ ПЛАН ЗА 2016.</t>
  </si>
  <si>
    <t>Уговори за јавне радове</t>
  </si>
  <si>
    <t>-услуге правног документовања и оверавања</t>
  </si>
  <si>
    <t>- правни савети и заступања</t>
  </si>
  <si>
    <t>ТРОШКОВИ ПО ОСТАЛИМ УГОВОРИМА</t>
  </si>
  <si>
    <t>ТРОШКОВИ РЕЗЕРВИСАЊА</t>
  </si>
  <si>
    <t>ТРОШКОВИ ЗАКУПА</t>
  </si>
  <si>
    <t>Производња и дистрибуција воде и друге услуге</t>
  </si>
  <si>
    <t>УКУПНИ ПРИХОДИ</t>
  </si>
  <si>
    <t>УКУПНИ РАСХОДИ</t>
  </si>
  <si>
    <t>Баваниште</t>
  </si>
  <si>
    <t>ПРИХОДИ ОД АКТИВИРАЊА ИЛИ ПОТРОШЊЕ РОБЕ ЗА СОПСТВЕНЕ ПОТРЕБЕ</t>
  </si>
  <si>
    <t xml:space="preserve">                                                                            Драгослав Јеремић, дипл.инж.грађ.</t>
  </si>
  <si>
    <t>Приходи од активирања или потрошње производа и услуга за сопствене потребе</t>
  </si>
  <si>
    <t>Приходи  гробља у Ковину</t>
  </si>
  <si>
    <t>II</t>
  </si>
  <si>
    <t>Приходи од активирања или потрошње производа и услуга  за сопствене потребе</t>
  </si>
  <si>
    <t>I</t>
  </si>
  <si>
    <t>Остали порези, накнаде и таксе</t>
  </si>
  <si>
    <t>РЕКАПИТУЛАЦИЈА</t>
  </si>
  <si>
    <t xml:space="preserve">                                                                          Директор</t>
  </si>
  <si>
    <t>Трошк.реклама и пропаганде</t>
  </si>
  <si>
    <t xml:space="preserve">Остали непоменути  расходи </t>
  </si>
  <si>
    <t>Трошкови резервисања (јубиларне награде,отпремнине и судске спорове)</t>
  </si>
  <si>
    <t>Трошкови резервисања</t>
  </si>
  <si>
    <t>Приходи пијаце у Ковину</t>
  </si>
  <si>
    <t>Трошкови премије осигурања и тех.преглед возила</t>
  </si>
  <si>
    <t>УКУПНО ПРИХОДИ ЗА 2022.ГОД.(  ОД 1 ДО  5 ) :</t>
  </si>
  <si>
    <t>УКУПНО РАСХОДИ ЗА 2022.ГОД. ( ОД 1 ДО 13 ):</t>
  </si>
  <si>
    <t>ДОБИТ ЗА 2022.Г. ( I - II ):</t>
  </si>
  <si>
    <t>ПРВА ИЗМЕНА ФИНАНСИЈСКОГ ПЛАНА ЗА 2022.</t>
  </si>
  <si>
    <t>РАЗЛИКА</t>
  </si>
  <si>
    <t xml:space="preserve"> ОСТВАРЕЊА ПЛАНА СА 31.08.2022.</t>
  </si>
  <si>
    <t>ДРУГА ИЗМЕНА ФИНАНСИЈСКОГ ПЛАНА ЗА 2022.</t>
  </si>
  <si>
    <t>ДРУГА ИЗМЕНА  ФИНАНСИЈСКОГ ПЛАНА ЗA 2022. ГОДИНУ</t>
  </si>
  <si>
    <t>ДАТУМ:07.10.2022.</t>
  </si>
  <si>
    <t>ОСТАЛИ РАСХОДИ И ВАНРЕДНИ РАСХОДИ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</si>
</sst>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3" fillId="33" borderId="14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35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34" borderId="14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wrapText="1"/>
    </xf>
    <xf numFmtId="4" fontId="1" fillId="0" borderId="13" xfId="0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6" fillId="33" borderId="28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81"/>
  <sheetViews>
    <sheetView tabSelected="1" zoomScalePageLayoutView="0" workbookViewId="0" topLeftCell="A109">
      <selection activeCell="K127" sqref="K127"/>
    </sheetView>
  </sheetViews>
  <sheetFormatPr defaultColWidth="9.140625" defaultRowHeight="12.75"/>
  <cols>
    <col min="1" max="1" width="4.8515625" style="0" customWidth="1"/>
    <col min="2" max="2" width="44.7109375" style="0" customWidth="1"/>
    <col min="3" max="4" width="9.140625" style="0" hidden="1" customWidth="1"/>
    <col min="5" max="5" width="0.13671875" style="0" hidden="1" customWidth="1"/>
    <col min="6" max="6" width="9.140625" style="0" hidden="1" customWidth="1"/>
    <col min="7" max="7" width="0.13671875" style="0" hidden="1" customWidth="1"/>
    <col min="8" max="9" width="0.2890625" style="0" hidden="1" customWidth="1"/>
    <col min="10" max="10" width="16.28125" style="0" customWidth="1"/>
    <col min="11" max="11" width="15.140625" style="0" customWidth="1"/>
    <col min="12" max="12" width="16.28125" style="0" customWidth="1"/>
    <col min="13" max="13" width="13.7109375" style="0" customWidth="1"/>
    <col min="14" max="14" width="13.8515625" style="0" bestFit="1" customWidth="1"/>
    <col min="15" max="15" width="12.7109375" style="0" bestFit="1" customWidth="1"/>
    <col min="16" max="16" width="11.7109375" style="0" bestFit="1" customWidth="1"/>
  </cols>
  <sheetData>
    <row r="1" spans="1:12" ht="12.75">
      <c r="A1" s="73" t="s">
        <v>3</v>
      </c>
      <c r="B1" s="7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3.5" thickBot="1">
      <c r="A2" s="73" t="s">
        <v>152</v>
      </c>
      <c r="B2" s="7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13.5" thickBot="1">
      <c r="A3" s="81" t="s">
        <v>151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3" ht="15" customHeight="1">
      <c r="A4" s="94" t="s">
        <v>73</v>
      </c>
      <c r="B4" s="95"/>
      <c r="C4" s="60"/>
      <c r="D4" s="60"/>
      <c r="E4" s="60"/>
      <c r="F4" s="60"/>
      <c r="G4" s="61"/>
      <c r="H4" s="100" t="s">
        <v>117</v>
      </c>
      <c r="I4" s="62"/>
      <c r="J4" s="86" t="s">
        <v>147</v>
      </c>
      <c r="K4" s="103" t="s">
        <v>149</v>
      </c>
      <c r="L4" s="86" t="s">
        <v>150</v>
      </c>
      <c r="M4" s="84" t="s">
        <v>148</v>
      </c>
    </row>
    <row r="5" spans="1:13" ht="12.75">
      <c r="A5" s="96"/>
      <c r="B5" s="97"/>
      <c r="C5" s="6"/>
      <c r="D5" s="6"/>
      <c r="E5" s="7" t="s">
        <v>91</v>
      </c>
      <c r="F5" s="2" t="s">
        <v>2</v>
      </c>
      <c r="G5" s="8" t="s">
        <v>111</v>
      </c>
      <c r="H5" s="101"/>
      <c r="I5" s="9"/>
      <c r="J5" s="87"/>
      <c r="K5" s="103"/>
      <c r="L5" s="87"/>
      <c r="M5" s="85"/>
    </row>
    <row r="6" spans="1:13" ht="30" customHeight="1" thickBot="1">
      <c r="A6" s="98"/>
      <c r="B6" s="99"/>
      <c r="C6" s="63"/>
      <c r="D6" s="63"/>
      <c r="E6" s="64" t="s">
        <v>92</v>
      </c>
      <c r="F6" s="65" t="s">
        <v>90</v>
      </c>
      <c r="G6" s="66" t="s">
        <v>112</v>
      </c>
      <c r="H6" s="102"/>
      <c r="I6" s="67"/>
      <c r="J6" s="88"/>
      <c r="K6" s="103"/>
      <c r="L6" s="88"/>
      <c r="M6" s="85"/>
    </row>
    <row r="7" spans="1:13" ht="12.75">
      <c r="A7" s="4">
        <v>1</v>
      </c>
      <c r="B7" s="5">
        <v>2</v>
      </c>
      <c r="C7" s="11"/>
      <c r="D7" s="11"/>
      <c r="E7" s="12">
        <v>3</v>
      </c>
      <c r="F7" s="13">
        <v>4</v>
      </c>
      <c r="G7" s="14">
        <v>3</v>
      </c>
      <c r="H7" s="14">
        <v>3</v>
      </c>
      <c r="I7" s="14"/>
      <c r="J7" s="15">
        <v>5</v>
      </c>
      <c r="K7" s="15">
        <v>4</v>
      </c>
      <c r="L7" s="15">
        <v>5</v>
      </c>
      <c r="M7" s="68">
        <v>6</v>
      </c>
    </row>
    <row r="8" spans="1:13" ht="12.75">
      <c r="A8" s="16">
        <v>1</v>
      </c>
      <c r="B8" s="17" t="s">
        <v>4</v>
      </c>
      <c r="C8" s="6"/>
      <c r="D8" s="6"/>
      <c r="E8" s="6"/>
      <c r="F8" s="6"/>
      <c r="G8" s="18"/>
      <c r="H8" s="6"/>
      <c r="I8" s="6"/>
      <c r="J8" s="6"/>
      <c r="K8" s="6"/>
      <c r="L8" s="6"/>
      <c r="M8" s="69"/>
    </row>
    <row r="9" spans="1:14" ht="12.75">
      <c r="A9" s="51">
        <v>1</v>
      </c>
      <c r="B9" s="35" t="s">
        <v>5</v>
      </c>
      <c r="C9" s="52"/>
      <c r="D9" s="52"/>
      <c r="E9" s="22">
        <v>1600000</v>
      </c>
      <c r="F9" s="21">
        <v>1400000</v>
      </c>
      <c r="G9" s="22">
        <v>1000000</v>
      </c>
      <c r="H9" s="22">
        <v>800000</v>
      </c>
      <c r="I9" s="22"/>
      <c r="J9" s="22">
        <f>6700000+1031400+8000</f>
        <v>7739400</v>
      </c>
      <c r="K9" s="22">
        <v>5235618.63</v>
      </c>
      <c r="L9" s="22">
        <f>6700000+1031400+8000</f>
        <v>7739400</v>
      </c>
      <c r="M9" s="70">
        <f>L9-J9</f>
        <v>0</v>
      </c>
      <c r="N9" s="1"/>
    </row>
    <row r="10" spans="1:14" ht="12.75">
      <c r="A10" s="51">
        <v>2</v>
      </c>
      <c r="B10" s="35" t="s">
        <v>6</v>
      </c>
      <c r="C10" s="52"/>
      <c r="D10" s="52"/>
      <c r="E10" s="22">
        <v>1800000</v>
      </c>
      <c r="F10" s="23">
        <v>1800000</v>
      </c>
      <c r="G10" s="22">
        <v>2000000</v>
      </c>
      <c r="H10" s="22">
        <v>2300000</v>
      </c>
      <c r="I10" s="22"/>
      <c r="J10" s="22">
        <v>3100000</v>
      </c>
      <c r="K10" s="22">
        <v>1465188.91</v>
      </c>
      <c r="L10" s="22">
        <v>3100000</v>
      </c>
      <c r="M10" s="70">
        <f aca="true" t="shared" si="0" ref="M10:M73">L10-J10</f>
        <v>0</v>
      </c>
      <c r="N10" s="1"/>
    </row>
    <row r="11" spans="1:14" ht="12.75">
      <c r="A11" s="75" t="s">
        <v>7</v>
      </c>
      <c r="B11" s="76"/>
      <c r="C11" s="52"/>
      <c r="D11" s="52"/>
      <c r="E11" s="25">
        <f>SUM(E9:E10)</f>
        <v>3400000</v>
      </c>
      <c r="F11" s="25">
        <f>SUM(F9:F10)</f>
        <v>3200000</v>
      </c>
      <c r="G11" s="25">
        <f>SUM(G9:G10)</f>
        <v>3000000</v>
      </c>
      <c r="H11" s="25">
        <f>SUM(H9:H10)</f>
        <v>3100000</v>
      </c>
      <c r="I11" s="25"/>
      <c r="J11" s="25">
        <f>SUM(J9:J10)</f>
        <v>10839400</v>
      </c>
      <c r="K11" s="25">
        <f>SUM(K9:K10)</f>
        <v>6700807.54</v>
      </c>
      <c r="L11" s="25">
        <f>SUM(L9:L10)</f>
        <v>10839400</v>
      </c>
      <c r="M11" s="71">
        <f t="shared" si="0"/>
        <v>0</v>
      </c>
      <c r="N11" s="1"/>
    </row>
    <row r="12" spans="1:14" ht="32.25" customHeight="1">
      <c r="A12" s="53">
        <v>2</v>
      </c>
      <c r="B12" s="54" t="s">
        <v>128</v>
      </c>
      <c r="C12" s="52"/>
      <c r="D12" s="52"/>
      <c r="E12" s="25"/>
      <c r="F12" s="25"/>
      <c r="G12" s="25"/>
      <c r="H12" s="25"/>
      <c r="I12" s="25"/>
      <c r="J12" s="22"/>
      <c r="K12" s="22"/>
      <c r="L12" s="22"/>
      <c r="M12" s="70"/>
      <c r="N12" s="1"/>
    </row>
    <row r="13" spans="1:14" ht="31.5" customHeight="1">
      <c r="A13" s="55">
        <v>1</v>
      </c>
      <c r="B13" s="56" t="s">
        <v>130</v>
      </c>
      <c r="C13" s="52"/>
      <c r="D13" s="52"/>
      <c r="E13" s="25"/>
      <c r="F13" s="25"/>
      <c r="G13" s="25"/>
      <c r="H13" s="25"/>
      <c r="I13" s="25"/>
      <c r="J13" s="22">
        <v>1500000</v>
      </c>
      <c r="K13" s="22">
        <v>471076.8</v>
      </c>
      <c r="L13" s="22">
        <v>1500000</v>
      </c>
      <c r="M13" s="70">
        <f t="shared" si="0"/>
        <v>0</v>
      </c>
      <c r="N13" s="1"/>
    </row>
    <row r="14" spans="1:14" ht="18" customHeight="1">
      <c r="A14" s="75" t="s">
        <v>30</v>
      </c>
      <c r="B14" s="76"/>
      <c r="C14" s="52"/>
      <c r="D14" s="52"/>
      <c r="E14" s="25"/>
      <c r="F14" s="25"/>
      <c r="G14" s="25"/>
      <c r="H14" s="25"/>
      <c r="I14" s="25"/>
      <c r="J14" s="25">
        <f>J13</f>
        <v>1500000</v>
      </c>
      <c r="K14" s="25">
        <f>K13</f>
        <v>471076.8</v>
      </c>
      <c r="L14" s="25">
        <f>L13</f>
        <v>1500000</v>
      </c>
      <c r="M14" s="71">
        <f t="shared" si="0"/>
        <v>0</v>
      </c>
      <c r="N14" s="1"/>
    </row>
    <row r="15" spans="1:14" ht="12.75">
      <c r="A15" s="53">
        <v>3</v>
      </c>
      <c r="B15" s="57" t="s">
        <v>8</v>
      </c>
      <c r="C15" s="52"/>
      <c r="D15" s="52"/>
      <c r="E15" s="22"/>
      <c r="F15" s="52"/>
      <c r="G15" s="22"/>
      <c r="H15" s="22"/>
      <c r="I15" s="22"/>
      <c r="J15" s="22"/>
      <c r="K15" s="22"/>
      <c r="L15" s="22"/>
      <c r="M15" s="70"/>
      <c r="N15" s="1"/>
    </row>
    <row r="16" spans="1:14" ht="12.75">
      <c r="A16" s="77" t="s">
        <v>124</v>
      </c>
      <c r="B16" s="78"/>
      <c r="C16" s="52"/>
      <c r="D16" s="52"/>
      <c r="E16" s="22"/>
      <c r="F16" s="52"/>
      <c r="G16" s="22"/>
      <c r="H16" s="22"/>
      <c r="I16" s="22"/>
      <c r="J16" s="22"/>
      <c r="K16" s="22"/>
      <c r="L16" s="22"/>
      <c r="M16" s="70"/>
      <c r="N16" s="1"/>
    </row>
    <row r="17" spans="1:14" ht="12.75">
      <c r="A17" s="51">
        <v>1</v>
      </c>
      <c r="B17" s="35" t="s">
        <v>9</v>
      </c>
      <c r="C17" s="52"/>
      <c r="D17" s="52"/>
      <c r="E17" s="22">
        <v>29000000</v>
      </c>
      <c r="F17" s="22">
        <v>29000000</v>
      </c>
      <c r="G17" s="22">
        <v>48000000</v>
      </c>
      <c r="H17" s="22">
        <v>48500000</v>
      </c>
      <c r="I17" s="22"/>
      <c r="J17" s="22">
        <v>42000000</v>
      </c>
      <c r="K17" s="22">
        <f>23020.18+344.57+8934329.4+65911.41+19897347.54+2857.77-2930.06-25746.99-22901.09-6839.19-7135.16-2184.91-486.32+511561.04</f>
        <v>29367148.19</v>
      </c>
      <c r="L17" s="22">
        <v>44000000</v>
      </c>
      <c r="M17" s="70">
        <f t="shared" si="0"/>
        <v>2000000</v>
      </c>
      <c r="N17" s="1"/>
    </row>
    <row r="18" spans="1:14" ht="12.75">
      <c r="A18" s="51">
        <v>2</v>
      </c>
      <c r="B18" s="35" t="s">
        <v>10</v>
      </c>
      <c r="C18" s="52"/>
      <c r="D18" s="52"/>
      <c r="E18" s="22">
        <v>4000000</v>
      </c>
      <c r="F18" s="22">
        <v>4000000</v>
      </c>
      <c r="G18" s="22">
        <v>6000000</v>
      </c>
      <c r="H18" s="22">
        <v>6000000</v>
      </c>
      <c r="I18" s="22"/>
      <c r="J18" s="22">
        <v>5500000</v>
      </c>
      <c r="K18" s="22">
        <f>3512584.3+74894.36</f>
        <v>3587478.6599999997</v>
      </c>
      <c r="L18" s="22">
        <v>5500000</v>
      </c>
      <c r="M18" s="70">
        <f t="shared" si="0"/>
        <v>0</v>
      </c>
      <c r="N18" s="1"/>
    </row>
    <row r="19" spans="1:14" ht="12.75">
      <c r="A19" s="51">
        <v>3</v>
      </c>
      <c r="B19" s="35" t="s">
        <v>11</v>
      </c>
      <c r="C19" s="52"/>
      <c r="D19" s="52"/>
      <c r="E19" s="22">
        <v>4400000</v>
      </c>
      <c r="F19" s="22">
        <v>4400000</v>
      </c>
      <c r="G19" s="22">
        <v>7500000</v>
      </c>
      <c r="H19" s="22">
        <v>7500000</v>
      </c>
      <c r="I19" s="22"/>
      <c r="J19" s="22">
        <v>6700000</v>
      </c>
      <c r="K19" s="22">
        <f>4336495.44+162096.73</f>
        <v>4498592.170000001</v>
      </c>
      <c r="L19" s="22">
        <v>6700000</v>
      </c>
      <c r="M19" s="70">
        <f t="shared" si="0"/>
        <v>0</v>
      </c>
      <c r="N19" s="1"/>
    </row>
    <row r="20" spans="1:14" ht="12.75">
      <c r="A20" s="51">
        <v>4</v>
      </c>
      <c r="B20" s="35" t="s">
        <v>12</v>
      </c>
      <c r="C20" s="52"/>
      <c r="D20" s="52"/>
      <c r="E20" s="22">
        <v>6000000</v>
      </c>
      <c r="F20" s="22">
        <v>6000000</v>
      </c>
      <c r="G20" s="22">
        <v>9800000</v>
      </c>
      <c r="H20" s="22">
        <v>10000000</v>
      </c>
      <c r="I20" s="22"/>
      <c r="J20" s="22">
        <v>8700000</v>
      </c>
      <c r="K20" s="22">
        <f>3673113.85+1879259.89</f>
        <v>5552373.74</v>
      </c>
      <c r="L20" s="22">
        <v>8700000</v>
      </c>
      <c r="M20" s="70">
        <f t="shared" si="0"/>
        <v>0</v>
      </c>
      <c r="N20" s="1"/>
    </row>
    <row r="21" spans="1:14" ht="12.75">
      <c r="A21" s="51">
        <v>5</v>
      </c>
      <c r="B21" s="35" t="s">
        <v>13</v>
      </c>
      <c r="C21" s="52"/>
      <c r="D21" s="52"/>
      <c r="E21" s="22">
        <v>2800000</v>
      </c>
      <c r="F21" s="22">
        <v>2800000</v>
      </c>
      <c r="G21" s="22">
        <v>5500000</v>
      </c>
      <c r="H21" s="22">
        <v>5200000</v>
      </c>
      <c r="I21" s="22"/>
      <c r="J21" s="22">
        <v>4500000</v>
      </c>
      <c r="K21" s="22">
        <f>2755033.9+177522.23</f>
        <v>2932556.13</v>
      </c>
      <c r="L21" s="22">
        <v>4500000</v>
      </c>
      <c r="M21" s="70">
        <f t="shared" si="0"/>
        <v>0</v>
      </c>
      <c r="N21" s="1"/>
    </row>
    <row r="22" spans="1:14" ht="12.75">
      <c r="A22" s="51">
        <v>6</v>
      </c>
      <c r="B22" s="35" t="s">
        <v>14</v>
      </c>
      <c r="C22" s="52"/>
      <c r="D22" s="52"/>
      <c r="E22" s="22">
        <v>3600000</v>
      </c>
      <c r="F22" s="22">
        <v>3600000</v>
      </c>
      <c r="G22" s="22">
        <v>5000000</v>
      </c>
      <c r="H22" s="22">
        <v>5100000</v>
      </c>
      <c r="I22" s="22"/>
      <c r="J22" s="22">
        <v>2800000</v>
      </c>
      <c r="K22" s="22">
        <f>2111011.58+65264.64</f>
        <v>2176276.22</v>
      </c>
      <c r="L22" s="22">
        <v>3000000</v>
      </c>
      <c r="M22" s="70">
        <f t="shared" si="0"/>
        <v>200000</v>
      </c>
      <c r="N22" s="1"/>
    </row>
    <row r="23" spans="1:14" ht="12.75">
      <c r="A23" s="51">
        <v>7</v>
      </c>
      <c r="B23" s="35" t="s">
        <v>15</v>
      </c>
      <c r="C23" s="52"/>
      <c r="D23" s="52"/>
      <c r="E23" s="22">
        <v>650000</v>
      </c>
      <c r="F23" s="22">
        <v>650000</v>
      </c>
      <c r="G23" s="22">
        <v>900000</v>
      </c>
      <c r="H23" s="22">
        <v>950000</v>
      </c>
      <c r="I23" s="22"/>
      <c r="J23" s="22">
        <v>600000</v>
      </c>
      <c r="K23" s="22">
        <f>300810.91+132814.41</f>
        <v>433625.31999999995</v>
      </c>
      <c r="L23" s="22">
        <v>600000</v>
      </c>
      <c r="M23" s="70">
        <f t="shared" si="0"/>
        <v>0</v>
      </c>
      <c r="N23" s="1"/>
    </row>
    <row r="24" spans="1:14" ht="12.75">
      <c r="A24" s="51">
        <v>8</v>
      </c>
      <c r="B24" s="35" t="s">
        <v>16</v>
      </c>
      <c r="C24" s="52"/>
      <c r="D24" s="52"/>
      <c r="E24" s="22">
        <v>500000</v>
      </c>
      <c r="F24" s="22">
        <v>500000</v>
      </c>
      <c r="G24" s="22">
        <v>650000</v>
      </c>
      <c r="H24" s="22">
        <v>800000</v>
      </c>
      <c r="I24" s="22"/>
      <c r="J24" s="22">
        <v>800000</v>
      </c>
      <c r="K24" s="22">
        <f>333785.42+125.67</f>
        <v>333911.08999999997</v>
      </c>
      <c r="L24" s="22">
        <v>800000</v>
      </c>
      <c r="M24" s="70">
        <f t="shared" si="0"/>
        <v>0</v>
      </c>
      <c r="N24" s="1"/>
    </row>
    <row r="25" spans="1:14" ht="12.75">
      <c r="A25" s="51">
        <v>9</v>
      </c>
      <c r="B25" s="35" t="s">
        <v>17</v>
      </c>
      <c r="C25" s="52"/>
      <c r="D25" s="52"/>
      <c r="E25" s="22">
        <v>1771000</v>
      </c>
      <c r="F25" s="22">
        <v>1771000</v>
      </c>
      <c r="G25" s="22">
        <v>2400000</v>
      </c>
      <c r="H25" s="22">
        <v>2400000</v>
      </c>
      <c r="I25" s="22"/>
      <c r="J25" s="22">
        <v>2200000</v>
      </c>
      <c r="K25" s="22">
        <f>1734140.44+72252.89</f>
        <v>1806393.3299999998</v>
      </c>
      <c r="L25" s="22">
        <v>2530000</v>
      </c>
      <c r="M25" s="70">
        <f t="shared" si="0"/>
        <v>330000</v>
      </c>
      <c r="N25" s="1"/>
    </row>
    <row r="26" spans="1:14" ht="12.75">
      <c r="A26" s="51">
        <v>10</v>
      </c>
      <c r="B26" s="35" t="s">
        <v>127</v>
      </c>
      <c r="C26" s="52"/>
      <c r="D26" s="52"/>
      <c r="E26" s="22"/>
      <c r="F26" s="22"/>
      <c r="G26" s="22"/>
      <c r="H26" s="22"/>
      <c r="I26" s="22"/>
      <c r="J26" s="22">
        <v>5000000</v>
      </c>
      <c r="K26" s="22">
        <f>4174232.67+122235.48</f>
        <v>4296468.15</v>
      </c>
      <c r="L26" s="22">
        <v>6500000</v>
      </c>
      <c r="M26" s="70">
        <f t="shared" si="0"/>
        <v>1500000</v>
      </c>
      <c r="N26" s="1"/>
    </row>
    <row r="27" spans="1:14" ht="12.75">
      <c r="A27" s="51">
        <v>11</v>
      </c>
      <c r="B27" s="35" t="s">
        <v>18</v>
      </c>
      <c r="C27" s="52"/>
      <c r="D27" s="52"/>
      <c r="E27" s="22">
        <v>16500000</v>
      </c>
      <c r="F27" s="21">
        <v>16500000</v>
      </c>
      <c r="G27" s="22">
        <v>23500000</v>
      </c>
      <c r="H27" s="22">
        <v>23600000</v>
      </c>
      <c r="I27" s="22"/>
      <c r="J27" s="22">
        <v>21000000</v>
      </c>
      <c r="K27" s="22">
        <f>8610518.34+6762189.52+226896.1+171477.7</f>
        <v>15771081.659999998</v>
      </c>
      <c r="L27" s="22">
        <v>22000000</v>
      </c>
      <c r="M27" s="70">
        <f t="shared" si="0"/>
        <v>1000000</v>
      </c>
      <c r="N27" s="1"/>
    </row>
    <row r="28" spans="1:14" ht="12.75">
      <c r="A28" s="51">
        <v>12</v>
      </c>
      <c r="B28" s="35" t="s">
        <v>114</v>
      </c>
      <c r="C28" s="52"/>
      <c r="D28" s="52"/>
      <c r="E28" s="22">
        <v>47000000</v>
      </c>
      <c r="F28" s="21">
        <v>45000000</v>
      </c>
      <c r="G28" s="22">
        <v>46000000</v>
      </c>
      <c r="H28" s="22">
        <v>48000000</v>
      </c>
      <c r="I28" s="22"/>
      <c r="J28" s="22">
        <v>60000000</v>
      </c>
      <c r="K28" s="22">
        <f>20988241.74+15775992.94+8015644.73</f>
        <v>44779879.41</v>
      </c>
      <c r="L28" s="22">
        <v>67500000</v>
      </c>
      <c r="M28" s="70">
        <f t="shared" si="0"/>
        <v>7500000</v>
      </c>
      <c r="N28" s="1"/>
    </row>
    <row r="29" spans="1:15" ht="12.75">
      <c r="A29" s="51">
        <v>13</v>
      </c>
      <c r="B29" s="35" t="s">
        <v>115</v>
      </c>
      <c r="C29" s="52"/>
      <c r="D29" s="52"/>
      <c r="E29" s="22"/>
      <c r="F29" s="21"/>
      <c r="G29" s="22">
        <v>14000000</v>
      </c>
      <c r="H29" s="22">
        <v>10000000</v>
      </c>
      <c r="I29" s="22"/>
      <c r="J29" s="22">
        <v>20000000</v>
      </c>
      <c r="K29" s="22">
        <v>10749048.96</v>
      </c>
      <c r="L29" s="22">
        <v>20000000</v>
      </c>
      <c r="M29" s="70">
        <f t="shared" si="0"/>
        <v>0</v>
      </c>
      <c r="N29" s="1"/>
      <c r="O29" s="1"/>
    </row>
    <row r="30" spans="1:15" ht="12.75">
      <c r="A30" s="51">
        <v>14</v>
      </c>
      <c r="B30" s="35" t="s">
        <v>103</v>
      </c>
      <c r="C30" s="52"/>
      <c r="D30" s="52"/>
      <c r="E30" s="22"/>
      <c r="F30" s="21"/>
      <c r="G30" s="22">
        <v>8700000</v>
      </c>
      <c r="H30" s="22">
        <v>7500000</v>
      </c>
      <c r="I30" s="22"/>
      <c r="J30" s="22">
        <v>14000000</v>
      </c>
      <c r="K30" s="22">
        <v>9281349.8</v>
      </c>
      <c r="L30" s="22">
        <v>14000000</v>
      </c>
      <c r="M30" s="70">
        <f t="shared" si="0"/>
        <v>0</v>
      </c>
      <c r="N30" s="1"/>
      <c r="O30" s="1"/>
    </row>
    <row r="31" spans="1:15" ht="12.75">
      <c r="A31" s="51">
        <v>15</v>
      </c>
      <c r="B31" s="35" t="s">
        <v>19</v>
      </c>
      <c r="C31" s="52"/>
      <c r="D31" s="52"/>
      <c r="E31" s="22">
        <v>120000</v>
      </c>
      <c r="F31" s="21">
        <v>120000</v>
      </c>
      <c r="G31" s="22">
        <v>200000</v>
      </c>
      <c r="H31" s="22">
        <v>200000</v>
      </c>
      <c r="I31" s="22"/>
      <c r="J31" s="22">
        <v>20000</v>
      </c>
      <c r="K31" s="22">
        <v>0</v>
      </c>
      <c r="L31" s="22">
        <v>20000</v>
      </c>
      <c r="M31" s="70">
        <f t="shared" si="0"/>
        <v>0</v>
      </c>
      <c r="N31" s="1"/>
      <c r="O31" s="1"/>
    </row>
    <row r="32" spans="1:15" ht="12.75">
      <c r="A32" s="51">
        <v>16</v>
      </c>
      <c r="B32" s="35" t="s">
        <v>142</v>
      </c>
      <c r="C32" s="52"/>
      <c r="D32" s="52"/>
      <c r="E32" s="22">
        <v>5309700</v>
      </c>
      <c r="F32" s="21">
        <v>4500000</v>
      </c>
      <c r="G32" s="22">
        <v>5900000</v>
      </c>
      <c r="H32" s="22">
        <v>6200000</v>
      </c>
      <c r="I32" s="22"/>
      <c r="J32" s="22">
        <v>4500000</v>
      </c>
      <c r="K32" s="22">
        <f>1463156.38+1416280.56</f>
        <v>2879436.94</v>
      </c>
      <c r="L32" s="22">
        <v>4500000</v>
      </c>
      <c r="M32" s="70">
        <f t="shared" si="0"/>
        <v>0</v>
      </c>
      <c r="N32" s="1"/>
      <c r="O32" s="1"/>
    </row>
    <row r="33" spans="1:15" ht="12.75">
      <c r="A33" s="51">
        <v>17</v>
      </c>
      <c r="B33" s="35" t="s">
        <v>131</v>
      </c>
      <c r="C33" s="52"/>
      <c r="D33" s="52"/>
      <c r="E33" s="22">
        <v>4700000</v>
      </c>
      <c r="F33" s="21">
        <v>4400000</v>
      </c>
      <c r="G33" s="22">
        <v>7200000</v>
      </c>
      <c r="H33" s="22">
        <v>7500000</v>
      </c>
      <c r="I33" s="22"/>
      <c r="J33" s="22">
        <v>10800000</v>
      </c>
      <c r="K33" s="22">
        <f>94597.77+28719.68+2902574.23+109424.08</f>
        <v>3135315.7600000002</v>
      </c>
      <c r="L33" s="22">
        <v>10800000</v>
      </c>
      <c r="M33" s="70">
        <f t="shared" si="0"/>
        <v>0</v>
      </c>
      <c r="N33" s="1"/>
      <c r="O33" s="1"/>
    </row>
    <row r="34" spans="1:15" ht="12.75">
      <c r="A34" s="51">
        <v>18</v>
      </c>
      <c r="B34" s="35" t="s">
        <v>20</v>
      </c>
      <c r="C34" s="52"/>
      <c r="D34" s="52"/>
      <c r="E34" s="22">
        <v>20000000</v>
      </c>
      <c r="F34" s="21">
        <v>17500000</v>
      </c>
      <c r="G34" s="22">
        <v>25000000</v>
      </c>
      <c r="H34" s="22">
        <v>20000000</v>
      </c>
      <c r="I34" s="22"/>
      <c r="J34" s="22">
        <v>38000000</v>
      </c>
      <c r="K34" s="22">
        <f>15252850.86+3787455.95+4130616.09</f>
        <v>23170922.9</v>
      </c>
      <c r="L34" s="22">
        <v>43500000</v>
      </c>
      <c r="M34" s="70">
        <f t="shared" si="0"/>
        <v>5500000</v>
      </c>
      <c r="N34" s="1"/>
      <c r="O34" s="1"/>
    </row>
    <row r="35" spans="1:15" ht="12.75">
      <c r="A35" s="51">
        <v>19</v>
      </c>
      <c r="B35" s="35" t="s">
        <v>21</v>
      </c>
      <c r="C35" s="52"/>
      <c r="D35" s="52"/>
      <c r="E35" s="22">
        <v>3564000</v>
      </c>
      <c r="F35" s="21">
        <v>3600000</v>
      </c>
      <c r="G35" s="22">
        <v>4100000</v>
      </c>
      <c r="H35" s="22">
        <v>3800000</v>
      </c>
      <c r="I35" s="22"/>
      <c r="J35" s="22">
        <v>50000</v>
      </c>
      <c r="K35" s="22">
        <v>0</v>
      </c>
      <c r="L35" s="22">
        <v>50000</v>
      </c>
      <c r="M35" s="70">
        <f t="shared" si="0"/>
        <v>0</v>
      </c>
      <c r="N35" s="1"/>
      <c r="O35" s="1"/>
    </row>
    <row r="36" spans="1:15" ht="12.75">
      <c r="A36" s="51">
        <v>20</v>
      </c>
      <c r="B36" s="35" t="s">
        <v>22</v>
      </c>
      <c r="C36" s="52"/>
      <c r="D36" s="52"/>
      <c r="E36" s="22">
        <v>3600000</v>
      </c>
      <c r="F36" s="21">
        <v>3600000</v>
      </c>
      <c r="G36" s="22">
        <v>2800000</v>
      </c>
      <c r="H36" s="22">
        <v>2000000</v>
      </c>
      <c r="I36" s="22"/>
      <c r="J36" s="22">
        <v>200000</v>
      </c>
      <c r="K36" s="22">
        <f>103852.03+445000</f>
        <v>548852.03</v>
      </c>
      <c r="L36" s="22">
        <v>200000</v>
      </c>
      <c r="M36" s="70">
        <f t="shared" si="0"/>
        <v>0</v>
      </c>
      <c r="N36" s="1"/>
      <c r="O36" s="1"/>
    </row>
    <row r="37" spans="1:15" ht="12.75">
      <c r="A37" s="51">
        <v>21</v>
      </c>
      <c r="B37" s="35" t="s">
        <v>102</v>
      </c>
      <c r="C37" s="52"/>
      <c r="D37" s="52"/>
      <c r="E37" s="22"/>
      <c r="F37" s="21"/>
      <c r="G37" s="22">
        <v>8300000</v>
      </c>
      <c r="H37" s="22">
        <v>8700000</v>
      </c>
      <c r="I37" s="22"/>
      <c r="J37" s="22">
        <v>9000000</v>
      </c>
      <c r="K37" s="22">
        <f>5624280+433620</f>
        <v>6057900</v>
      </c>
      <c r="L37" s="22">
        <v>9000000</v>
      </c>
      <c r="M37" s="70">
        <f t="shared" si="0"/>
        <v>0</v>
      </c>
      <c r="N37" s="1"/>
      <c r="O37" s="1"/>
    </row>
    <row r="38" spans="1:15" ht="12.75">
      <c r="A38" s="51">
        <v>22</v>
      </c>
      <c r="B38" s="35" t="s">
        <v>109</v>
      </c>
      <c r="C38" s="52"/>
      <c r="D38" s="52"/>
      <c r="E38" s="22"/>
      <c r="F38" s="21"/>
      <c r="G38" s="22">
        <v>2015000</v>
      </c>
      <c r="H38" s="22">
        <v>1200000</v>
      </c>
      <c r="I38" s="22"/>
      <c r="J38" s="22">
        <v>4500000</v>
      </c>
      <c r="K38" s="22">
        <v>2539850.25</v>
      </c>
      <c r="L38" s="22">
        <v>4500000</v>
      </c>
      <c r="M38" s="70">
        <f t="shared" si="0"/>
        <v>0</v>
      </c>
      <c r="N38" s="1"/>
      <c r="O38" s="1"/>
    </row>
    <row r="39" spans="1:15" ht="12.75">
      <c r="A39" s="51">
        <v>23</v>
      </c>
      <c r="B39" s="35" t="s">
        <v>110</v>
      </c>
      <c r="C39" s="52"/>
      <c r="D39" s="52"/>
      <c r="E39" s="22"/>
      <c r="F39" s="21"/>
      <c r="G39" s="22">
        <v>2800000</v>
      </c>
      <c r="H39" s="22">
        <v>1700000</v>
      </c>
      <c r="I39" s="22"/>
      <c r="J39" s="22">
        <v>1300000</v>
      </c>
      <c r="K39" s="22">
        <v>372233.33</v>
      </c>
      <c r="L39" s="22">
        <v>1300000</v>
      </c>
      <c r="M39" s="70">
        <f t="shared" si="0"/>
        <v>0</v>
      </c>
      <c r="N39" s="1"/>
      <c r="O39" s="1"/>
    </row>
    <row r="40" spans="1:15" ht="12.75">
      <c r="A40" s="58" t="s">
        <v>23</v>
      </c>
      <c r="B40" s="37"/>
      <c r="C40" s="52"/>
      <c r="D40" s="52"/>
      <c r="E40" s="25">
        <f>SUM(E17:E36)</f>
        <v>153514700</v>
      </c>
      <c r="F40" s="25">
        <f>SUM(F17:F36)</f>
        <v>147941000</v>
      </c>
      <c r="G40" s="25">
        <f>SUM(G17:G39)</f>
        <v>236265000</v>
      </c>
      <c r="H40" s="25">
        <f>SUM(H17:H39)</f>
        <v>226850000</v>
      </c>
      <c r="I40" s="25"/>
      <c r="J40" s="25">
        <f>SUM(J17:J39)</f>
        <v>262170000</v>
      </c>
      <c r="K40" s="25">
        <f>SUM(K17:K39)</f>
        <v>174270694.04000002</v>
      </c>
      <c r="L40" s="25">
        <f>SUM(L17:L39)</f>
        <v>280200000</v>
      </c>
      <c r="M40" s="71">
        <f t="shared" si="0"/>
        <v>18030000</v>
      </c>
      <c r="N40" s="1"/>
      <c r="O40" s="1"/>
    </row>
    <row r="41" spans="1:14" ht="12.75">
      <c r="A41" s="53">
        <v>4</v>
      </c>
      <c r="B41" s="34" t="s">
        <v>106</v>
      </c>
      <c r="C41" s="40"/>
      <c r="D41" s="40"/>
      <c r="E41" s="40"/>
      <c r="F41" s="40"/>
      <c r="G41" s="22"/>
      <c r="H41" s="22"/>
      <c r="I41" s="22"/>
      <c r="J41" s="22"/>
      <c r="K41" s="22"/>
      <c r="L41" s="22"/>
      <c r="M41" s="70"/>
      <c r="N41" s="1"/>
    </row>
    <row r="42" spans="1:14" ht="12.75">
      <c r="A42" s="51">
        <v>1</v>
      </c>
      <c r="B42" s="35" t="s">
        <v>24</v>
      </c>
      <c r="C42" s="52"/>
      <c r="D42" s="52"/>
      <c r="E42" s="22">
        <v>5800000</v>
      </c>
      <c r="F42" s="21">
        <v>5800000</v>
      </c>
      <c r="G42" s="22">
        <v>9000000</v>
      </c>
      <c r="H42" s="22">
        <v>8500000</v>
      </c>
      <c r="I42" s="22"/>
      <c r="J42" s="22">
        <v>4000000</v>
      </c>
      <c r="K42" s="22">
        <v>2697871.41</v>
      </c>
      <c r="L42" s="22">
        <v>4000000</v>
      </c>
      <c r="M42" s="70">
        <f t="shared" si="0"/>
        <v>0</v>
      </c>
      <c r="N42" s="1"/>
    </row>
    <row r="43" spans="1:14" ht="12.75">
      <c r="A43" s="51">
        <v>2</v>
      </c>
      <c r="B43" s="35" t="s">
        <v>94</v>
      </c>
      <c r="C43" s="52"/>
      <c r="D43" s="52"/>
      <c r="E43" s="22">
        <v>3500000</v>
      </c>
      <c r="F43" s="21">
        <v>3500000</v>
      </c>
      <c r="G43" s="22">
        <v>200000</v>
      </c>
      <c r="H43" s="22">
        <v>200000</v>
      </c>
      <c r="I43" s="22"/>
      <c r="J43" s="22">
        <v>0</v>
      </c>
      <c r="K43" s="22">
        <v>0</v>
      </c>
      <c r="L43" s="22">
        <v>0</v>
      </c>
      <c r="M43" s="70">
        <f t="shared" si="0"/>
        <v>0</v>
      </c>
      <c r="N43" s="1"/>
    </row>
    <row r="44" spans="1:14" ht="12.75">
      <c r="A44" s="51">
        <v>3</v>
      </c>
      <c r="B44" s="35" t="s">
        <v>83</v>
      </c>
      <c r="C44" s="52"/>
      <c r="D44" s="52"/>
      <c r="E44" s="22"/>
      <c r="F44" s="21"/>
      <c r="G44" s="22">
        <v>4500000</v>
      </c>
      <c r="H44" s="22">
        <v>4500000</v>
      </c>
      <c r="I44" s="22"/>
      <c r="J44" s="22">
        <v>2500000</v>
      </c>
      <c r="K44" s="22">
        <v>624338.31</v>
      </c>
      <c r="L44" s="22">
        <v>2500000</v>
      </c>
      <c r="M44" s="70">
        <f t="shared" si="0"/>
        <v>0</v>
      </c>
      <c r="N44" s="1"/>
    </row>
    <row r="45" spans="1:14" ht="12.75">
      <c r="A45" s="29"/>
      <c r="B45" s="30" t="s">
        <v>30</v>
      </c>
      <c r="C45" s="6"/>
      <c r="D45" s="6"/>
      <c r="E45" s="18"/>
      <c r="F45" s="21"/>
      <c r="G45" s="24">
        <f>SUM(G42:G44)</f>
        <v>13700000</v>
      </c>
      <c r="H45" s="24">
        <f>SUM(H42:H44)</f>
        <v>13200000</v>
      </c>
      <c r="I45" s="24"/>
      <c r="J45" s="24">
        <f>SUM(J42:J44)</f>
        <v>6500000</v>
      </c>
      <c r="K45" s="25">
        <f>SUM(K42:K44)</f>
        <v>3322209.72</v>
      </c>
      <c r="L45" s="24">
        <f>SUM(L42:L44)</f>
        <v>6500000</v>
      </c>
      <c r="M45" s="71">
        <f t="shared" si="0"/>
        <v>0</v>
      </c>
      <c r="N45" s="1"/>
    </row>
    <row r="46" spans="1:14" ht="12.75">
      <c r="A46" s="31">
        <v>5</v>
      </c>
      <c r="B46" s="30" t="s">
        <v>107</v>
      </c>
      <c r="C46" s="6"/>
      <c r="D46" s="6"/>
      <c r="E46" s="18"/>
      <c r="F46" s="21"/>
      <c r="G46" s="18"/>
      <c r="H46" s="18"/>
      <c r="I46" s="18"/>
      <c r="J46" s="18"/>
      <c r="K46" s="22"/>
      <c r="L46" s="18"/>
      <c r="M46" s="70"/>
      <c r="N46" s="1"/>
    </row>
    <row r="47" spans="1:14" ht="12.75">
      <c r="A47" s="19">
        <v>1</v>
      </c>
      <c r="B47" s="20" t="s">
        <v>25</v>
      </c>
      <c r="C47" s="6"/>
      <c r="D47" s="6"/>
      <c r="E47" s="18"/>
      <c r="F47" s="21"/>
      <c r="G47" s="18">
        <v>2500000</v>
      </c>
      <c r="H47" s="18">
        <v>2500000</v>
      </c>
      <c r="I47" s="18"/>
      <c r="J47" s="22">
        <v>12000000</v>
      </c>
      <c r="K47" s="22">
        <f>2442206.59+9776.03</f>
        <v>2451982.6199999996</v>
      </c>
      <c r="L47" s="22">
        <v>12000000</v>
      </c>
      <c r="M47" s="70">
        <f t="shared" si="0"/>
        <v>0</v>
      </c>
      <c r="N47" s="1"/>
    </row>
    <row r="48" spans="1:14" ht="12.75">
      <c r="A48" s="19">
        <v>2</v>
      </c>
      <c r="B48" s="20" t="s">
        <v>101</v>
      </c>
      <c r="C48" s="6"/>
      <c r="D48" s="6"/>
      <c r="E48" s="18"/>
      <c r="F48" s="21"/>
      <c r="G48" s="18">
        <v>1000000</v>
      </c>
      <c r="H48" s="18">
        <v>500000</v>
      </c>
      <c r="I48" s="18"/>
      <c r="J48" s="22">
        <v>1000000</v>
      </c>
      <c r="K48" s="22">
        <v>0</v>
      </c>
      <c r="L48" s="22">
        <v>1000000</v>
      </c>
      <c r="M48" s="70">
        <f t="shared" si="0"/>
        <v>0</v>
      </c>
      <c r="N48" s="1"/>
    </row>
    <row r="49" spans="1:14" ht="12.75">
      <c r="A49" s="19"/>
      <c r="B49" s="30" t="s">
        <v>30</v>
      </c>
      <c r="C49" s="6"/>
      <c r="D49" s="6"/>
      <c r="E49" s="18"/>
      <c r="F49" s="21"/>
      <c r="G49" s="18"/>
      <c r="H49" s="18"/>
      <c r="I49" s="18"/>
      <c r="J49" s="25">
        <f>SUM(J47:J48)</f>
        <v>13000000</v>
      </c>
      <c r="K49" s="25">
        <f>SUM(K47:K48)</f>
        <v>2451982.6199999996</v>
      </c>
      <c r="L49" s="25">
        <f>SUM(L47:L48)</f>
        <v>13000000</v>
      </c>
      <c r="M49" s="71">
        <f t="shared" si="0"/>
        <v>0</v>
      </c>
      <c r="N49" s="1"/>
    </row>
    <row r="50" spans="1:14" ht="12.75">
      <c r="A50" s="19"/>
      <c r="B50" s="30"/>
      <c r="C50" s="6"/>
      <c r="D50" s="6"/>
      <c r="E50" s="18"/>
      <c r="F50" s="21"/>
      <c r="G50" s="18"/>
      <c r="H50" s="18"/>
      <c r="I50" s="18"/>
      <c r="J50" s="22"/>
      <c r="K50" s="18"/>
      <c r="L50" s="22"/>
      <c r="M50" s="70"/>
      <c r="N50" s="1"/>
    </row>
    <row r="51" spans="1:14" ht="12.75">
      <c r="A51" s="79" t="s">
        <v>144</v>
      </c>
      <c r="B51" s="80"/>
      <c r="C51" s="6"/>
      <c r="D51" s="6"/>
      <c r="E51" s="24">
        <f>SUM(E42:E43)</f>
        <v>9300000</v>
      </c>
      <c r="F51" s="24">
        <f>SUM(F42:F43)</f>
        <v>9300000</v>
      </c>
      <c r="G51" s="24">
        <f>SUM(G47:G48)</f>
        <v>3500000</v>
      </c>
      <c r="H51" s="24">
        <f>SUM(H47:H48)</f>
        <v>3000000</v>
      </c>
      <c r="I51" s="24"/>
      <c r="J51" s="25">
        <f>J11+J14+J40+J45+J49</f>
        <v>294009400</v>
      </c>
      <c r="K51" s="24">
        <f>K11+K14+K40+K45+K49</f>
        <v>187216770.72000003</v>
      </c>
      <c r="L51" s="25">
        <f>L11+L14+L40+L45+L49</f>
        <v>312039400</v>
      </c>
      <c r="M51" s="71">
        <f t="shared" si="0"/>
        <v>18030000</v>
      </c>
      <c r="N51" s="1"/>
    </row>
    <row r="52" spans="1:14" ht="12.75">
      <c r="A52" s="26"/>
      <c r="B52" s="28"/>
      <c r="C52" s="28"/>
      <c r="D52" s="28"/>
      <c r="E52" s="28"/>
      <c r="F52" s="28"/>
      <c r="G52" s="18"/>
      <c r="H52" s="18"/>
      <c r="I52" s="18"/>
      <c r="J52" s="22"/>
      <c r="K52" s="18"/>
      <c r="L52" s="22"/>
      <c r="M52" s="70"/>
      <c r="N52" s="1"/>
    </row>
    <row r="53" spans="1:14" ht="12.75">
      <c r="A53" s="32" t="s">
        <v>26</v>
      </c>
      <c r="B53" s="33"/>
      <c r="C53" s="6"/>
      <c r="D53" s="6"/>
      <c r="E53" s="18"/>
      <c r="F53" s="6"/>
      <c r="G53" s="24"/>
      <c r="H53" s="24"/>
      <c r="I53" s="24"/>
      <c r="J53" s="22"/>
      <c r="K53" s="18"/>
      <c r="L53" s="22"/>
      <c r="M53" s="70"/>
      <c r="N53" s="1"/>
    </row>
    <row r="54" spans="1:14" ht="12.75">
      <c r="A54" s="16">
        <v>1</v>
      </c>
      <c r="B54" s="34" t="s">
        <v>28</v>
      </c>
      <c r="C54" s="6"/>
      <c r="D54" s="6"/>
      <c r="E54" s="18"/>
      <c r="F54" s="6"/>
      <c r="G54" s="24"/>
      <c r="H54" s="24"/>
      <c r="I54" s="24"/>
      <c r="J54" s="22"/>
      <c r="K54" s="18"/>
      <c r="L54" s="22"/>
      <c r="M54" s="70"/>
      <c r="N54" s="1"/>
    </row>
    <row r="55" spans="1:14" ht="12.75">
      <c r="A55" s="51">
        <v>1</v>
      </c>
      <c r="B55" s="35" t="s">
        <v>29</v>
      </c>
      <c r="C55" s="52"/>
      <c r="D55" s="52"/>
      <c r="E55" s="22">
        <v>2400000</v>
      </c>
      <c r="F55" s="21"/>
      <c r="G55" s="22">
        <v>2200000</v>
      </c>
      <c r="H55" s="22">
        <v>2400000</v>
      </c>
      <c r="I55" s="22"/>
      <c r="J55" s="22">
        <v>7500000</v>
      </c>
      <c r="K55" s="18">
        <v>3331846.77</v>
      </c>
      <c r="L55" s="22">
        <v>7500000</v>
      </c>
      <c r="M55" s="70">
        <f t="shared" si="0"/>
        <v>0</v>
      </c>
      <c r="N55" s="1"/>
    </row>
    <row r="56" spans="1:14" ht="12.75">
      <c r="A56" s="58" t="s">
        <v>30</v>
      </c>
      <c r="B56" s="37"/>
      <c r="C56" s="52"/>
      <c r="D56" s="52"/>
      <c r="E56" s="25">
        <v>2400000</v>
      </c>
      <c r="F56" s="38"/>
      <c r="G56" s="25">
        <f>G55</f>
        <v>2200000</v>
      </c>
      <c r="H56" s="25">
        <f>H55</f>
        <v>2400000</v>
      </c>
      <c r="I56" s="25"/>
      <c r="J56" s="25">
        <f>J55</f>
        <v>7500000</v>
      </c>
      <c r="K56" s="24">
        <f>K55</f>
        <v>3331846.77</v>
      </c>
      <c r="L56" s="25">
        <f>L55</f>
        <v>7500000</v>
      </c>
      <c r="M56" s="71">
        <f t="shared" si="0"/>
        <v>0</v>
      </c>
      <c r="N56" s="1"/>
    </row>
    <row r="57" spans="1:14" ht="12.75">
      <c r="A57" s="58"/>
      <c r="B57" s="37"/>
      <c r="C57" s="37"/>
      <c r="D57" s="37"/>
      <c r="E57" s="37"/>
      <c r="F57" s="37"/>
      <c r="G57" s="25"/>
      <c r="H57" s="25"/>
      <c r="I57" s="25"/>
      <c r="J57" s="22"/>
      <c r="K57" s="18"/>
      <c r="L57" s="22"/>
      <c r="M57" s="70"/>
      <c r="N57" s="1"/>
    </row>
    <row r="58" spans="1:14" ht="12.75">
      <c r="A58" s="53">
        <v>2</v>
      </c>
      <c r="B58" s="34" t="s">
        <v>99</v>
      </c>
      <c r="C58" s="52"/>
      <c r="D58" s="52"/>
      <c r="E58" s="22"/>
      <c r="F58" s="52"/>
      <c r="G58" s="25"/>
      <c r="H58" s="25"/>
      <c r="I58" s="25"/>
      <c r="J58" s="22"/>
      <c r="K58" s="18"/>
      <c r="L58" s="22"/>
      <c r="M58" s="70"/>
      <c r="N58" s="1"/>
    </row>
    <row r="59" spans="1:14" ht="12.75">
      <c r="A59" s="51">
        <v>1</v>
      </c>
      <c r="B59" s="35" t="s">
        <v>31</v>
      </c>
      <c r="C59" s="52"/>
      <c r="D59" s="52"/>
      <c r="E59" s="22">
        <v>9480000</v>
      </c>
      <c r="F59" s="23"/>
      <c r="G59" s="22">
        <v>20060000</v>
      </c>
      <c r="H59" s="22">
        <v>16945000</v>
      </c>
      <c r="I59" s="22"/>
      <c r="J59" s="22">
        <f>18000000+9200000</f>
        <v>27200000</v>
      </c>
      <c r="K59" s="18">
        <v>12790744.19</v>
      </c>
      <c r="L59" s="22">
        <f>14400000+9740000</f>
        <v>24140000</v>
      </c>
      <c r="M59" s="70">
        <f t="shared" si="0"/>
        <v>-3060000</v>
      </c>
      <c r="N59" s="1"/>
    </row>
    <row r="60" spans="1:14" ht="12.75">
      <c r="A60" s="51">
        <v>2</v>
      </c>
      <c r="B60" s="35" t="s">
        <v>32</v>
      </c>
      <c r="C60" s="52"/>
      <c r="D60" s="52"/>
      <c r="E60" s="22">
        <v>1635000</v>
      </c>
      <c r="F60" s="23"/>
      <c r="G60" s="22">
        <v>2400000</v>
      </c>
      <c r="H60" s="22">
        <v>2300000</v>
      </c>
      <c r="I60" s="22"/>
      <c r="J60" s="22">
        <f>2715000</f>
        <v>2715000</v>
      </c>
      <c r="K60" s="22">
        <v>850506.28</v>
      </c>
      <c r="L60" s="22">
        <f>2215000</f>
        <v>2215000</v>
      </c>
      <c r="M60" s="70">
        <f t="shared" si="0"/>
        <v>-500000</v>
      </c>
      <c r="N60" s="1"/>
    </row>
    <row r="61" spans="1:14" ht="12.75">
      <c r="A61" s="51">
        <v>3</v>
      </c>
      <c r="B61" s="35" t="s">
        <v>33</v>
      </c>
      <c r="C61" s="52"/>
      <c r="D61" s="52"/>
      <c r="E61" s="22">
        <v>705000</v>
      </c>
      <c r="F61" s="23"/>
      <c r="G61" s="22">
        <v>2691000</v>
      </c>
      <c r="H61" s="22">
        <v>2335000</v>
      </c>
      <c r="I61" s="22"/>
      <c r="J61" s="22">
        <f>2370000+980000</f>
        <v>3350000</v>
      </c>
      <c r="K61" s="18">
        <v>1062254.41</v>
      </c>
      <c r="L61" s="22">
        <f>2310000+980000</f>
        <v>3290000</v>
      </c>
      <c r="M61" s="70">
        <f t="shared" si="0"/>
        <v>-60000</v>
      </c>
      <c r="N61" s="1"/>
    </row>
    <row r="62" spans="1:14" ht="12.75">
      <c r="A62" s="51">
        <v>4</v>
      </c>
      <c r="B62" s="35" t="s">
        <v>34</v>
      </c>
      <c r="C62" s="52"/>
      <c r="D62" s="52"/>
      <c r="E62" s="22">
        <v>400000</v>
      </c>
      <c r="F62" s="23"/>
      <c r="G62" s="22">
        <v>600000</v>
      </c>
      <c r="H62" s="22">
        <v>600000</v>
      </c>
      <c r="I62" s="22"/>
      <c r="J62" s="22">
        <v>1500000</v>
      </c>
      <c r="K62" s="18">
        <v>652989.5</v>
      </c>
      <c r="L62" s="22">
        <v>1500000</v>
      </c>
      <c r="M62" s="70">
        <f t="shared" si="0"/>
        <v>0</v>
      </c>
      <c r="N62" s="1"/>
    </row>
    <row r="63" spans="1:14" ht="12.75">
      <c r="A63" s="58" t="s">
        <v>30</v>
      </c>
      <c r="B63" s="37"/>
      <c r="C63" s="52"/>
      <c r="D63" s="52"/>
      <c r="E63" s="25">
        <f>SUM(E59:E62)</f>
        <v>12220000</v>
      </c>
      <c r="F63" s="25"/>
      <c r="G63" s="25">
        <f>SUM(G59:G62)</f>
        <v>25751000</v>
      </c>
      <c r="H63" s="25">
        <f>SUM(H59:H62)</f>
        <v>22180000</v>
      </c>
      <c r="I63" s="25"/>
      <c r="J63" s="25">
        <f>SUM(J59:J62)</f>
        <v>34765000</v>
      </c>
      <c r="K63" s="24">
        <f>SUM(K59:K62)</f>
        <v>15356494.379999999</v>
      </c>
      <c r="L63" s="25">
        <f>SUM(L59:L62)</f>
        <v>31145000</v>
      </c>
      <c r="M63" s="71">
        <f t="shared" si="0"/>
        <v>-3620000</v>
      </c>
      <c r="N63" s="1"/>
    </row>
    <row r="64" spans="1:14" ht="12.75">
      <c r="A64" s="53"/>
      <c r="B64" s="40"/>
      <c r="C64" s="40"/>
      <c r="D64" s="40"/>
      <c r="E64" s="40"/>
      <c r="F64" s="40"/>
      <c r="G64" s="25"/>
      <c r="H64" s="25"/>
      <c r="I64" s="25"/>
      <c r="J64" s="22"/>
      <c r="K64" s="18"/>
      <c r="L64" s="22"/>
      <c r="M64" s="70"/>
      <c r="N64" s="1"/>
    </row>
    <row r="65" spans="1:14" ht="12.75">
      <c r="A65" s="53">
        <v>3</v>
      </c>
      <c r="B65" s="41" t="s">
        <v>35</v>
      </c>
      <c r="C65" s="52"/>
      <c r="D65" s="52"/>
      <c r="E65" s="22"/>
      <c r="F65" s="52"/>
      <c r="G65" s="25"/>
      <c r="H65" s="25"/>
      <c r="I65" s="25"/>
      <c r="J65" s="22"/>
      <c r="K65" s="18"/>
      <c r="L65" s="22"/>
      <c r="M65" s="70"/>
      <c r="N65" s="1"/>
    </row>
    <row r="66" spans="1:14" ht="12.75">
      <c r="A66" s="51">
        <v>1</v>
      </c>
      <c r="B66" s="35" t="s">
        <v>36</v>
      </c>
      <c r="C66" s="52"/>
      <c r="D66" s="52"/>
      <c r="E66" s="22">
        <v>9200000</v>
      </c>
      <c r="F66" s="21"/>
      <c r="G66" s="22">
        <v>15000000</v>
      </c>
      <c r="H66" s="22">
        <v>10000000</v>
      </c>
      <c r="I66" s="22"/>
      <c r="J66" s="22">
        <v>10000000</v>
      </c>
      <c r="K66" s="18">
        <v>8724905.85</v>
      </c>
      <c r="L66" s="22">
        <v>15000000</v>
      </c>
      <c r="M66" s="70">
        <f t="shared" si="0"/>
        <v>5000000</v>
      </c>
      <c r="N66" s="1"/>
    </row>
    <row r="67" spans="1:14" ht="12.75">
      <c r="A67" s="51">
        <v>2</v>
      </c>
      <c r="B67" s="35" t="s">
        <v>37</v>
      </c>
      <c r="C67" s="52"/>
      <c r="D67" s="52"/>
      <c r="E67" s="22">
        <v>10000000</v>
      </c>
      <c r="F67" s="21"/>
      <c r="G67" s="22">
        <v>18000000</v>
      </c>
      <c r="H67" s="22">
        <v>18000000</v>
      </c>
      <c r="I67" s="22"/>
      <c r="J67" s="22">
        <v>15000000</v>
      </c>
      <c r="K67" s="18">
        <v>13047833.78</v>
      </c>
      <c r="L67" s="22">
        <v>26750000</v>
      </c>
      <c r="M67" s="70">
        <f t="shared" si="0"/>
        <v>11750000</v>
      </c>
      <c r="N67" s="1"/>
    </row>
    <row r="68" spans="1:14" ht="12.75">
      <c r="A68" s="51">
        <v>3</v>
      </c>
      <c r="B68" s="35" t="s">
        <v>38</v>
      </c>
      <c r="C68" s="52"/>
      <c r="D68" s="52"/>
      <c r="E68" s="22">
        <v>1060000</v>
      </c>
      <c r="F68" s="21"/>
      <c r="G68" s="22">
        <v>1300000</v>
      </c>
      <c r="H68" s="22">
        <v>1300000</v>
      </c>
      <c r="I68" s="22"/>
      <c r="J68" s="22">
        <v>600000</v>
      </c>
      <c r="K68" s="18">
        <v>340396.94</v>
      </c>
      <c r="L68" s="22">
        <v>600000</v>
      </c>
      <c r="M68" s="70">
        <f t="shared" si="0"/>
        <v>0</v>
      </c>
      <c r="N68" s="1"/>
    </row>
    <row r="69" spans="1:14" ht="12.75">
      <c r="A69" s="58" t="s">
        <v>30</v>
      </c>
      <c r="B69" s="37"/>
      <c r="C69" s="52"/>
      <c r="D69" s="52"/>
      <c r="E69" s="25">
        <f>SUM(E66:E68)</f>
        <v>20260000</v>
      </c>
      <c r="F69" s="25"/>
      <c r="G69" s="25">
        <f>SUM(G66:G68)</f>
        <v>34300000</v>
      </c>
      <c r="H69" s="25">
        <f>SUM(H66:H68)</f>
        <v>29300000</v>
      </c>
      <c r="I69" s="25"/>
      <c r="J69" s="25">
        <f>SUM(J66:J68)</f>
        <v>25600000</v>
      </c>
      <c r="K69" s="24">
        <f>SUM(K66:K68)</f>
        <v>22113136.57</v>
      </c>
      <c r="L69" s="25">
        <f>SUM(L66:L68)</f>
        <v>42350000</v>
      </c>
      <c r="M69" s="71">
        <f t="shared" si="0"/>
        <v>16750000</v>
      </c>
      <c r="N69" s="1"/>
    </row>
    <row r="70" spans="1:14" ht="12.75">
      <c r="A70" s="53"/>
      <c r="B70" s="40"/>
      <c r="C70" s="40"/>
      <c r="D70" s="40"/>
      <c r="E70" s="40"/>
      <c r="F70" s="40"/>
      <c r="G70" s="25"/>
      <c r="H70" s="25"/>
      <c r="I70" s="25"/>
      <c r="J70" s="22"/>
      <c r="K70" s="18"/>
      <c r="L70" s="22"/>
      <c r="M70" s="70">
        <f t="shared" si="0"/>
        <v>0</v>
      </c>
      <c r="N70" s="1"/>
    </row>
    <row r="71" spans="1:14" ht="12.75">
      <c r="A71" s="53">
        <v>4</v>
      </c>
      <c r="B71" s="37" t="s">
        <v>39</v>
      </c>
      <c r="C71" s="52"/>
      <c r="D71" s="52"/>
      <c r="E71" s="22"/>
      <c r="F71" s="52"/>
      <c r="G71" s="25"/>
      <c r="H71" s="25"/>
      <c r="I71" s="25"/>
      <c r="J71" s="22"/>
      <c r="K71" s="18"/>
      <c r="L71" s="22"/>
      <c r="M71" s="70">
        <f t="shared" si="0"/>
        <v>0</v>
      </c>
      <c r="N71" s="1"/>
    </row>
    <row r="72" spans="1:14" ht="12.75">
      <c r="A72" s="51">
        <v>1</v>
      </c>
      <c r="B72" s="35" t="s">
        <v>40</v>
      </c>
      <c r="C72" s="52"/>
      <c r="D72" s="52"/>
      <c r="E72" s="22">
        <v>78244560</v>
      </c>
      <c r="F72" s="25"/>
      <c r="G72" s="22">
        <v>97550200</v>
      </c>
      <c r="H72" s="22">
        <v>95510200</v>
      </c>
      <c r="I72" s="22"/>
      <c r="J72" s="22">
        <v>109110000</v>
      </c>
      <c r="K72" s="22">
        <v>68592197.09</v>
      </c>
      <c r="L72" s="22">
        <v>109110000</v>
      </c>
      <c r="M72" s="70">
        <f t="shared" si="0"/>
        <v>0</v>
      </c>
      <c r="N72" s="1"/>
    </row>
    <row r="73" spans="1:14" ht="12.75">
      <c r="A73" s="51">
        <v>2</v>
      </c>
      <c r="B73" s="35" t="s">
        <v>41</v>
      </c>
      <c r="C73" s="52"/>
      <c r="D73" s="52"/>
      <c r="E73" s="22">
        <v>14564746</v>
      </c>
      <c r="F73" s="25"/>
      <c r="G73" s="22">
        <v>18446000</v>
      </c>
      <c r="H73" s="22">
        <v>18081000</v>
      </c>
      <c r="I73" s="22"/>
      <c r="J73" s="22">
        <v>18170000</v>
      </c>
      <c r="K73" s="22">
        <v>11389517.39</v>
      </c>
      <c r="L73" s="22">
        <v>18170000</v>
      </c>
      <c r="M73" s="70">
        <f t="shared" si="0"/>
        <v>0</v>
      </c>
      <c r="N73" s="1"/>
    </row>
    <row r="74" spans="1:14" ht="12.75">
      <c r="A74" s="58" t="s">
        <v>30</v>
      </c>
      <c r="B74" s="37"/>
      <c r="C74" s="52"/>
      <c r="D74" s="52"/>
      <c r="E74" s="25">
        <f>SUM(E72:E73)</f>
        <v>92809306</v>
      </c>
      <c r="F74" s="25"/>
      <c r="G74" s="25">
        <f>SUM(G72:G73)</f>
        <v>115996200</v>
      </c>
      <c r="H74" s="25">
        <f>SUM(H72:H73)</f>
        <v>113591200</v>
      </c>
      <c r="I74" s="25"/>
      <c r="J74" s="25">
        <f>SUM(J72:J73)</f>
        <v>127280000</v>
      </c>
      <c r="K74" s="25">
        <f>SUM(K72:K73)</f>
        <v>79981714.48</v>
      </c>
      <c r="L74" s="25">
        <f>SUM(L72:L73)</f>
        <v>127280000</v>
      </c>
      <c r="M74" s="71">
        <f aca="true" t="shared" si="1" ref="M74:M137">L74-J74</f>
        <v>0</v>
      </c>
      <c r="N74" s="1"/>
    </row>
    <row r="75" spans="1:14" ht="12.75">
      <c r="A75" s="53"/>
      <c r="B75" s="40"/>
      <c r="C75" s="40"/>
      <c r="D75" s="40"/>
      <c r="E75" s="40"/>
      <c r="F75" s="40"/>
      <c r="G75" s="25"/>
      <c r="H75" s="25"/>
      <c r="I75" s="25"/>
      <c r="J75" s="22"/>
      <c r="K75" s="18"/>
      <c r="L75" s="22"/>
      <c r="M75" s="70"/>
      <c r="N75" s="1"/>
    </row>
    <row r="76" spans="1:14" ht="12.75">
      <c r="A76" s="53">
        <v>5</v>
      </c>
      <c r="B76" s="37" t="s">
        <v>42</v>
      </c>
      <c r="C76" s="52"/>
      <c r="D76" s="52"/>
      <c r="E76" s="22"/>
      <c r="F76" s="52"/>
      <c r="G76" s="25"/>
      <c r="H76" s="25"/>
      <c r="I76" s="25"/>
      <c r="J76" s="22"/>
      <c r="K76" s="18"/>
      <c r="L76" s="22"/>
      <c r="M76" s="70"/>
      <c r="N76" s="1"/>
    </row>
    <row r="77" spans="1:14" ht="12.75">
      <c r="A77" s="51">
        <v>1</v>
      </c>
      <c r="B77" s="35" t="s">
        <v>116</v>
      </c>
      <c r="C77" s="52"/>
      <c r="D77" s="52"/>
      <c r="E77" s="22">
        <v>450000</v>
      </c>
      <c r="F77" s="23"/>
      <c r="G77" s="22">
        <v>900000</v>
      </c>
      <c r="H77" s="22">
        <v>900000</v>
      </c>
      <c r="I77" s="22"/>
      <c r="J77" s="22">
        <v>1300000</v>
      </c>
      <c r="K77" s="22">
        <v>863900</v>
      </c>
      <c r="L77" s="22">
        <v>1300000</v>
      </c>
      <c r="M77" s="70">
        <f t="shared" si="1"/>
        <v>0</v>
      </c>
      <c r="N77" s="1"/>
    </row>
    <row r="78" spans="1:14" ht="12.75">
      <c r="A78" s="51">
        <v>2</v>
      </c>
      <c r="B78" s="35" t="s">
        <v>100</v>
      </c>
      <c r="C78" s="52"/>
      <c r="D78" s="52"/>
      <c r="E78" s="22">
        <v>350000</v>
      </c>
      <c r="F78" s="23"/>
      <c r="G78" s="22">
        <v>1500000</v>
      </c>
      <c r="H78" s="22">
        <v>1500000</v>
      </c>
      <c r="I78" s="22"/>
      <c r="J78" s="22">
        <v>300000</v>
      </c>
      <c r="K78" s="18">
        <v>127034</v>
      </c>
      <c r="L78" s="22">
        <v>300000</v>
      </c>
      <c r="M78" s="70">
        <f t="shared" si="1"/>
        <v>0</v>
      </c>
      <c r="N78" s="1"/>
    </row>
    <row r="79" spans="1:14" ht="12.75">
      <c r="A79" s="51">
        <v>3</v>
      </c>
      <c r="B79" s="35" t="s">
        <v>113</v>
      </c>
      <c r="C79" s="52"/>
      <c r="D79" s="52"/>
      <c r="E79" s="22"/>
      <c r="F79" s="23"/>
      <c r="G79" s="22">
        <v>113000</v>
      </c>
      <c r="H79" s="22">
        <v>0</v>
      </c>
      <c r="I79" s="22"/>
      <c r="J79" s="22">
        <v>600000</v>
      </c>
      <c r="K79" s="18">
        <v>0</v>
      </c>
      <c r="L79" s="22">
        <v>600000</v>
      </c>
      <c r="M79" s="70">
        <f t="shared" si="1"/>
        <v>0</v>
      </c>
      <c r="N79" s="1"/>
    </row>
    <row r="80" spans="1:14" ht="12.75">
      <c r="A80" s="51">
        <v>4</v>
      </c>
      <c r="B80" s="35" t="s">
        <v>97</v>
      </c>
      <c r="C80" s="52"/>
      <c r="D80" s="52"/>
      <c r="E80" s="22">
        <v>350000</v>
      </c>
      <c r="F80" s="23"/>
      <c r="G80" s="22">
        <v>950000</v>
      </c>
      <c r="H80" s="22">
        <v>800000</v>
      </c>
      <c r="I80" s="22"/>
      <c r="J80" s="22">
        <v>100000</v>
      </c>
      <c r="K80" s="22">
        <v>0</v>
      </c>
      <c r="L80" s="22">
        <v>100000</v>
      </c>
      <c r="M80" s="70">
        <f t="shared" si="1"/>
        <v>0</v>
      </c>
      <c r="N80" s="1"/>
    </row>
    <row r="81" spans="1:14" ht="12.75">
      <c r="A81" s="51">
        <v>5</v>
      </c>
      <c r="B81" s="35" t="s">
        <v>43</v>
      </c>
      <c r="C81" s="52"/>
      <c r="D81" s="52"/>
      <c r="E81" s="22">
        <v>200000</v>
      </c>
      <c r="F81" s="23"/>
      <c r="G81" s="22">
        <v>500000</v>
      </c>
      <c r="H81" s="22">
        <v>500000</v>
      </c>
      <c r="I81" s="22"/>
      <c r="J81" s="22">
        <v>6800000</v>
      </c>
      <c r="K81" s="22">
        <v>3242974.46</v>
      </c>
      <c r="L81" s="22">
        <v>6800000</v>
      </c>
      <c r="M81" s="70">
        <f t="shared" si="1"/>
        <v>0</v>
      </c>
      <c r="N81" s="1"/>
    </row>
    <row r="82" spans="1:14" ht="12.75">
      <c r="A82" s="51">
        <v>6</v>
      </c>
      <c r="B82" s="35" t="s">
        <v>44</v>
      </c>
      <c r="C82" s="52"/>
      <c r="D82" s="52"/>
      <c r="E82" s="22">
        <v>90000</v>
      </c>
      <c r="F82" s="23"/>
      <c r="G82" s="22">
        <v>300000</v>
      </c>
      <c r="H82" s="22">
        <v>300000</v>
      </c>
      <c r="I82" s="22"/>
      <c r="J82" s="22">
        <v>500000</v>
      </c>
      <c r="K82" s="22">
        <v>0</v>
      </c>
      <c r="L82" s="22">
        <v>500000</v>
      </c>
      <c r="M82" s="70">
        <f t="shared" si="1"/>
        <v>0</v>
      </c>
      <c r="N82" s="1"/>
    </row>
    <row r="83" spans="1:14" ht="12.75">
      <c r="A83" s="51">
        <v>7</v>
      </c>
      <c r="B83" s="35" t="s">
        <v>45</v>
      </c>
      <c r="C83" s="52"/>
      <c r="D83" s="52"/>
      <c r="E83" s="22">
        <v>100000</v>
      </c>
      <c r="F83" s="23"/>
      <c r="G83" s="22">
        <v>130000</v>
      </c>
      <c r="H83" s="22">
        <v>130000</v>
      </c>
      <c r="I83" s="22"/>
      <c r="J83" s="22">
        <v>50000</v>
      </c>
      <c r="K83" s="22">
        <v>10468.5</v>
      </c>
      <c r="L83" s="22">
        <v>50000</v>
      </c>
      <c r="M83" s="70">
        <f t="shared" si="1"/>
        <v>0</v>
      </c>
      <c r="N83" s="1"/>
    </row>
    <row r="84" spans="1:14" ht="12.75">
      <c r="A84" s="51">
        <v>8</v>
      </c>
      <c r="B84" s="35" t="s">
        <v>95</v>
      </c>
      <c r="C84" s="52"/>
      <c r="D84" s="52"/>
      <c r="E84" s="22">
        <v>3700000</v>
      </c>
      <c r="F84" s="23"/>
      <c r="G84" s="22">
        <v>30000</v>
      </c>
      <c r="H84" s="22">
        <v>30000</v>
      </c>
      <c r="I84" s="22"/>
      <c r="J84" s="22">
        <v>20000</v>
      </c>
      <c r="K84" s="22">
        <v>0</v>
      </c>
      <c r="L84" s="22">
        <v>20000</v>
      </c>
      <c r="M84" s="70">
        <f t="shared" si="1"/>
        <v>0</v>
      </c>
      <c r="N84" s="1"/>
    </row>
    <row r="85" spans="1:14" ht="12.75">
      <c r="A85" s="51">
        <v>9</v>
      </c>
      <c r="B85" s="35" t="s">
        <v>46</v>
      </c>
      <c r="C85" s="52"/>
      <c r="D85" s="52"/>
      <c r="E85" s="22"/>
      <c r="F85" s="23"/>
      <c r="G85" s="22">
        <v>30000</v>
      </c>
      <c r="H85" s="22">
        <v>30000</v>
      </c>
      <c r="I85" s="22"/>
      <c r="J85" s="22">
        <v>40000</v>
      </c>
      <c r="K85" s="22">
        <v>13111.5</v>
      </c>
      <c r="L85" s="22">
        <v>40000</v>
      </c>
      <c r="M85" s="70">
        <f t="shared" si="1"/>
        <v>0</v>
      </c>
      <c r="N85" s="1"/>
    </row>
    <row r="86" spans="1:14" ht="12.75">
      <c r="A86" s="51">
        <v>10</v>
      </c>
      <c r="B86" s="40" t="s">
        <v>96</v>
      </c>
      <c r="C86" s="40"/>
      <c r="D86" s="52"/>
      <c r="E86" s="22"/>
      <c r="F86" s="23"/>
      <c r="G86" s="22">
        <v>15000</v>
      </c>
      <c r="H86" s="22">
        <v>15000</v>
      </c>
      <c r="I86" s="22"/>
      <c r="J86" s="22">
        <v>15000</v>
      </c>
      <c r="K86" s="22">
        <v>0</v>
      </c>
      <c r="L86" s="22">
        <v>15000</v>
      </c>
      <c r="M86" s="70">
        <f t="shared" si="1"/>
        <v>0</v>
      </c>
      <c r="N86" s="1"/>
    </row>
    <row r="87" spans="1:14" ht="12.75">
      <c r="A87" s="19">
        <v>11</v>
      </c>
      <c r="B87" s="20" t="s">
        <v>47</v>
      </c>
      <c r="C87" s="6"/>
      <c r="D87" s="6"/>
      <c r="E87" s="18"/>
      <c r="F87" s="23"/>
      <c r="G87" s="22">
        <v>8300000</v>
      </c>
      <c r="H87" s="22">
        <v>8800000</v>
      </c>
      <c r="I87" s="22"/>
      <c r="J87" s="22">
        <v>11000000</v>
      </c>
      <c r="K87" s="22">
        <v>6093731.88</v>
      </c>
      <c r="L87" s="22">
        <v>11000000</v>
      </c>
      <c r="M87" s="70">
        <f t="shared" si="1"/>
        <v>0</v>
      </c>
      <c r="N87" s="1"/>
    </row>
    <row r="88" spans="1:14" ht="12.75">
      <c r="A88" s="36" t="s">
        <v>30</v>
      </c>
      <c r="B88" s="37"/>
      <c r="C88" s="6"/>
      <c r="D88" s="6"/>
      <c r="E88" s="24">
        <f>SUM(E77:E84)</f>
        <v>5240000</v>
      </c>
      <c r="F88" s="24"/>
      <c r="G88" s="25">
        <f>SUM(G77:G87)</f>
        <v>12768000</v>
      </c>
      <c r="H88" s="25">
        <f>SUM(H77:H87)</f>
        <v>13005000</v>
      </c>
      <c r="I88" s="25"/>
      <c r="J88" s="24">
        <f>SUM(J77:J87)</f>
        <v>20725000</v>
      </c>
      <c r="K88" s="24">
        <f>SUM(K77:K87)</f>
        <v>10351220.34</v>
      </c>
      <c r="L88" s="24">
        <f>SUM(L77:L87)</f>
        <v>20725000</v>
      </c>
      <c r="M88" s="71">
        <f t="shared" si="1"/>
        <v>0</v>
      </c>
      <c r="N88" s="1"/>
    </row>
    <row r="89" spans="1:14" ht="12.75">
      <c r="A89" s="53">
        <v>6</v>
      </c>
      <c r="B89" s="37" t="s">
        <v>121</v>
      </c>
      <c r="C89" s="37"/>
      <c r="D89" s="37"/>
      <c r="E89" s="37"/>
      <c r="F89" s="37"/>
      <c r="G89" s="25"/>
      <c r="H89" s="25"/>
      <c r="I89" s="25"/>
      <c r="J89" s="22"/>
      <c r="K89" s="18"/>
      <c r="L89" s="22"/>
      <c r="M89" s="70"/>
      <c r="N89" s="1"/>
    </row>
    <row r="90" spans="1:14" ht="12.75">
      <c r="A90" s="51">
        <v>1</v>
      </c>
      <c r="B90" s="35" t="s">
        <v>48</v>
      </c>
      <c r="C90" s="52"/>
      <c r="D90" s="52"/>
      <c r="E90" s="22">
        <v>4450000</v>
      </c>
      <c r="F90" s="23"/>
      <c r="G90" s="22">
        <v>150000</v>
      </c>
      <c r="H90" s="22">
        <v>150000</v>
      </c>
      <c r="I90" s="22"/>
      <c r="J90" s="22">
        <v>490000</v>
      </c>
      <c r="K90" s="22">
        <v>106490.56</v>
      </c>
      <c r="L90" s="22">
        <v>490000</v>
      </c>
      <c r="M90" s="70">
        <f t="shared" si="1"/>
        <v>0</v>
      </c>
      <c r="N90" s="1"/>
    </row>
    <row r="91" spans="1:14" ht="12.75">
      <c r="A91" s="51">
        <v>2</v>
      </c>
      <c r="B91" s="35" t="s">
        <v>49</v>
      </c>
      <c r="C91" s="52"/>
      <c r="D91" s="52"/>
      <c r="E91" s="22">
        <v>350000</v>
      </c>
      <c r="F91" s="23"/>
      <c r="G91" s="22">
        <v>5400000</v>
      </c>
      <c r="H91" s="22">
        <v>5400000</v>
      </c>
      <c r="I91" s="22"/>
      <c r="J91" s="22">
        <v>13000000</v>
      </c>
      <c r="K91" s="22">
        <v>7278227.84</v>
      </c>
      <c r="L91" s="22">
        <v>13000000</v>
      </c>
      <c r="M91" s="70">
        <f t="shared" si="1"/>
        <v>0</v>
      </c>
      <c r="N91" s="1"/>
    </row>
    <row r="92" spans="1:14" ht="12.75">
      <c r="A92" s="51">
        <v>3</v>
      </c>
      <c r="B92" s="35" t="s">
        <v>118</v>
      </c>
      <c r="C92" s="52"/>
      <c r="D92" s="52"/>
      <c r="E92" s="22"/>
      <c r="F92" s="23"/>
      <c r="G92" s="22"/>
      <c r="H92" s="22"/>
      <c r="I92" s="22"/>
      <c r="J92" s="22">
        <v>2500000</v>
      </c>
      <c r="K92" s="22">
        <v>400974.27</v>
      </c>
      <c r="L92" s="22">
        <v>2500000</v>
      </c>
      <c r="M92" s="70">
        <f t="shared" si="1"/>
        <v>0</v>
      </c>
      <c r="N92" s="1"/>
    </row>
    <row r="93" spans="1:14" ht="12.75">
      <c r="A93" s="58" t="s">
        <v>30</v>
      </c>
      <c r="B93" s="37"/>
      <c r="C93" s="52"/>
      <c r="D93" s="52"/>
      <c r="E93" s="25">
        <f>SUM(E90:E91)</f>
        <v>4800000</v>
      </c>
      <c r="F93" s="25"/>
      <c r="G93" s="25">
        <f>SUM(G90:G91)</f>
        <v>5550000</v>
      </c>
      <c r="H93" s="25">
        <f>SUM(H90:H91)</f>
        <v>5550000</v>
      </c>
      <c r="I93" s="25"/>
      <c r="J93" s="25">
        <f>SUM(J90:J92)</f>
        <v>15990000</v>
      </c>
      <c r="K93" s="24">
        <f>SUM(K90:K92)</f>
        <v>7785692.67</v>
      </c>
      <c r="L93" s="25">
        <f>SUM(L90:L92)</f>
        <v>15990000</v>
      </c>
      <c r="M93" s="71">
        <f t="shared" si="1"/>
        <v>0</v>
      </c>
      <c r="N93" s="1"/>
    </row>
    <row r="94" spans="1:14" ht="12.75">
      <c r="A94" s="58"/>
      <c r="B94" s="37"/>
      <c r="C94" s="37"/>
      <c r="D94" s="37"/>
      <c r="E94" s="37"/>
      <c r="F94" s="37"/>
      <c r="G94" s="25"/>
      <c r="H94" s="25"/>
      <c r="I94" s="25"/>
      <c r="J94" s="22"/>
      <c r="K94" s="18"/>
      <c r="L94" s="22"/>
      <c r="M94" s="70"/>
      <c r="N94" s="1"/>
    </row>
    <row r="95" spans="1:14" ht="12.75">
      <c r="A95" s="53">
        <v>7</v>
      </c>
      <c r="B95" s="41" t="s">
        <v>122</v>
      </c>
      <c r="C95" s="52"/>
      <c r="D95" s="52"/>
      <c r="E95" s="25"/>
      <c r="F95" s="25"/>
      <c r="G95" s="25"/>
      <c r="H95" s="25"/>
      <c r="I95" s="25"/>
      <c r="J95" s="22"/>
      <c r="K95" s="18"/>
      <c r="L95" s="22"/>
      <c r="M95" s="70"/>
      <c r="N95" s="1"/>
    </row>
    <row r="96" spans="1:15" ht="25.5">
      <c r="A96" s="51">
        <v>1</v>
      </c>
      <c r="B96" s="43" t="s">
        <v>140</v>
      </c>
      <c r="C96" s="52"/>
      <c r="D96" s="52"/>
      <c r="E96" s="25"/>
      <c r="F96" s="25"/>
      <c r="G96" s="25">
        <v>0</v>
      </c>
      <c r="H96" s="25">
        <v>500000</v>
      </c>
      <c r="I96" s="25"/>
      <c r="J96" s="25">
        <v>1000000</v>
      </c>
      <c r="K96" s="24">
        <v>0</v>
      </c>
      <c r="L96" s="25">
        <v>1000000</v>
      </c>
      <c r="M96" s="71">
        <f t="shared" si="1"/>
        <v>0</v>
      </c>
      <c r="N96" s="1"/>
      <c r="O96" s="1"/>
    </row>
    <row r="97" spans="1:14" ht="12.75">
      <c r="A97" s="55"/>
      <c r="B97" s="40"/>
      <c r="C97" s="40"/>
      <c r="D97" s="40"/>
      <c r="E97" s="40"/>
      <c r="F97" s="40"/>
      <c r="G97" s="25"/>
      <c r="H97" s="25"/>
      <c r="I97" s="25"/>
      <c r="J97" s="22"/>
      <c r="K97" s="18"/>
      <c r="L97" s="22"/>
      <c r="M97" s="70"/>
      <c r="N97" s="1"/>
    </row>
    <row r="98" spans="1:15" ht="12.75">
      <c r="A98" s="53">
        <v>8</v>
      </c>
      <c r="B98" s="37" t="s">
        <v>50</v>
      </c>
      <c r="C98" s="52"/>
      <c r="D98" s="52"/>
      <c r="E98" s="22"/>
      <c r="F98" s="25"/>
      <c r="G98" s="25"/>
      <c r="H98" s="25"/>
      <c r="I98" s="25"/>
      <c r="J98" s="22"/>
      <c r="K98" s="18"/>
      <c r="L98" s="22"/>
      <c r="M98" s="70"/>
      <c r="N98" s="1"/>
      <c r="O98" s="1"/>
    </row>
    <row r="99" spans="1:14" ht="12.75">
      <c r="A99" s="51">
        <v>1</v>
      </c>
      <c r="B99" s="35" t="s">
        <v>105</v>
      </c>
      <c r="C99" s="52"/>
      <c r="D99" s="52"/>
      <c r="E99" s="22"/>
      <c r="F99" s="52"/>
      <c r="G99" s="22">
        <v>1880000</v>
      </c>
      <c r="H99" s="22">
        <v>2000000</v>
      </c>
      <c r="I99" s="22"/>
      <c r="J99" s="22">
        <f>980000+330000</f>
        <v>1310000</v>
      </c>
      <c r="K99" s="22">
        <v>812442.36</v>
      </c>
      <c r="L99" s="22">
        <f>980000+330000</f>
        <v>1310000</v>
      </c>
      <c r="M99" s="70">
        <f t="shared" si="1"/>
        <v>0</v>
      </c>
      <c r="N99" s="1"/>
    </row>
    <row r="100" spans="1:14" ht="12.75">
      <c r="A100" s="51">
        <v>2</v>
      </c>
      <c r="B100" s="35" t="s">
        <v>51</v>
      </c>
      <c r="C100" s="52"/>
      <c r="D100" s="52"/>
      <c r="E100" s="22">
        <v>750000</v>
      </c>
      <c r="F100" s="22"/>
      <c r="G100" s="22">
        <v>1000000</v>
      </c>
      <c r="H100" s="22">
        <v>700000</v>
      </c>
      <c r="I100" s="22"/>
      <c r="J100" s="22">
        <v>990000</v>
      </c>
      <c r="K100" s="18">
        <v>168610.32</v>
      </c>
      <c r="L100" s="22">
        <v>990000</v>
      </c>
      <c r="M100" s="70">
        <f t="shared" si="1"/>
        <v>0</v>
      </c>
      <c r="N100" s="1"/>
    </row>
    <row r="101" spans="1:14" ht="12.75">
      <c r="A101" s="51">
        <v>3</v>
      </c>
      <c r="B101" s="59" t="s">
        <v>84</v>
      </c>
      <c r="C101" s="52"/>
      <c r="D101" s="52"/>
      <c r="E101" s="22">
        <v>2000000</v>
      </c>
      <c r="F101" s="21"/>
      <c r="G101" s="22">
        <v>100000</v>
      </c>
      <c r="H101" s="22">
        <v>100000</v>
      </c>
      <c r="I101" s="22"/>
      <c r="J101" s="22">
        <v>250000</v>
      </c>
      <c r="K101" s="18">
        <v>193724.97</v>
      </c>
      <c r="L101" s="22">
        <v>250000</v>
      </c>
      <c r="M101" s="70">
        <f t="shared" si="1"/>
        <v>0</v>
      </c>
      <c r="N101" s="1"/>
    </row>
    <row r="102" spans="1:14" ht="12.75">
      <c r="A102" s="51">
        <v>4</v>
      </c>
      <c r="B102" s="35" t="s">
        <v>85</v>
      </c>
      <c r="C102" s="52"/>
      <c r="D102" s="52"/>
      <c r="E102" s="22">
        <v>120000</v>
      </c>
      <c r="F102" s="21"/>
      <c r="G102" s="22">
        <v>7660000</v>
      </c>
      <c r="H102" s="22">
        <v>5720000</v>
      </c>
      <c r="I102" s="22"/>
      <c r="J102" s="22">
        <f>6820000+380000</f>
        <v>7200000</v>
      </c>
      <c r="K102" s="18">
        <f>3111852.19+42636+47015.2+45760</f>
        <v>3247263.39</v>
      </c>
      <c r="L102" s="22">
        <f>7020000+380000</f>
        <v>7400000</v>
      </c>
      <c r="M102" s="70">
        <f t="shared" si="1"/>
        <v>200000</v>
      </c>
      <c r="N102" s="1"/>
    </row>
    <row r="103" spans="1:14" ht="12.75">
      <c r="A103" s="51">
        <v>5</v>
      </c>
      <c r="B103" s="35" t="s">
        <v>138</v>
      </c>
      <c r="C103" s="52"/>
      <c r="D103" s="52"/>
      <c r="E103" s="22">
        <v>4215000</v>
      </c>
      <c r="F103" s="21"/>
      <c r="G103" s="22">
        <v>132000</v>
      </c>
      <c r="H103" s="22">
        <v>60000</v>
      </c>
      <c r="I103" s="22"/>
      <c r="J103" s="22">
        <v>490000</v>
      </c>
      <c r="K103" s="18">
        <v>0</v>
      </c>
      <c r="L103" s="22">
        <v>490000</v>
      </c>
      <c r="M103" s="70">
        <f t="shared" si="1"/>
        <v>0</v>
      </c>
      <c r="N103" s="1"/>
    </row>
    <row r="104" spans="1:14" ht="12.75">
      <c r="A104" s="51">
        <v>6</v>
      </c>
      <c r="B104" s="35" t="s">
        <v>86</v>
      </c>
      <c r="C104" s="52"/>
      <c r="D104" s="52"/>
      <c r="E104" s="22">
        <v>500000</v>
      </c>
      <c r="F104" s="21"/>
      <c r="G104" s="22">
        <v>270000</v>
      </c>
      <c r="H104" s="22">
        <v>270000</v>
      </c>
      <c r="I104" s="22"/>
      <c r="J104" s="22">
        <v>300000</v>
      </c>
      <c r="K104" s="22">
        <v>125311.06</v>
      </c>
      <c r="L104" s="22">
        <v>300000</v>
      </c>
      <c r="M104" s="70">
        <f t="shared" si="1"/>
        <v>0</v>
      </c>
      <c r="N104" s="1"/>
    </row>
    <row r="105" spans="1:14" ht="12.75">
      <c r="A105" s="58" t="s">
        <v>30</v>
      </c>
      <c r="B105" s="37"/>
      <c r="C105" s="52"/>
      <c r="D105" s="52"/>
      <c r="E105" s="22">
        <v>300000</v>
      </c>
      <c r="F105" s="21"/>
      <c r="G105" s="25">
        <f>SUM(G99:G104)</f>
        <v>11042000</v>
      </c>
      <c r="H105" s="25">
        <f>SUM(H99:H104)</f>
        <v>8850000</v>
      </c>
      <c r="I105" s="25"/>
      <c r="J105" s="25">
        <f>SUM(J99:J104)</f>
        <v>10540000</v>
      </c>
      <c r="K105" s="24">
        <f>SUM(K99:K104)</f>
        <v>4547352.1</v>
      </c>
      <c r="L105" s="25">
        <f>SUM(L99:L104)</f>
        <v>10740000</v>
      </c>
      <c r="M105" s="71">
        <f t="shared" si="1"/>
        <v>200000</v>
      </c>
      <c r="N105" s="1"/>
    </row>
    <row r="106" spans="1:14" ht="12.75">
      <c r="A106" s="58"/>
      <c r="B106" s="37"/>
      <c r="C106" s="52"/>
      <c r="D106" s="52"/>
      <c r="E106" s="22"/>
      <c r="F106" s="21"/>
      <c r="G106" s="25"/>
      <c r="H106" s="25"/>
      <c r="I106" s="25"/>
      <c r="J106" s="22"/>
      <c r="K106" s="18"/>
      <c r="L106" s="22"/>
      <c r="M106" s="70"/>
      <c r="N106" s="1"/>
    </row>
    <row r="107" spans="1:14" ht="12.75">
      <c r="A107" s="53">
        <v>9</v>
      </c>
      <c r="B107" s="37" t="s">
        <v>123</v>
      </c>
      <c r="C107" s="52"/>
      <c r="D107" s="52"/>
      <c r="E107" s="22"/>
      <c r="F107" s="21"/>
      <c r="G107" s="25"/>
      <c r="H107" s="25"/>
      <c r="I107" s="25"/>
      <c r="J107" s="22"/>
      <c r="K107" s="18"/>
      <c r="L107" s="22"/>
      <c r="M107" s="70"/>
      <c r="N107" s="1"/>
    </row>
    <row r="108" spans="1:14" ht="12.75">
      <c r="A108" s="51">
        <v>1</v>
      </c>
      <c r="B108" s="40" t="s">
        <v>108</v>
      </c>
      <c r="C108" s="52"/>
      <c r="D108" s="52"/>
      <c r="E108" s="22"/>
      <c r="F108" s="21"/>
      <c r="G108" s="25">
        <v>70000</v>
      </c>
      <c r="H108" s="25">
        <v>70000</v>
      </c>
      <c r="I108" s="25"/>
      <c r="J108" s="25">
        <v>800000</v>
      </c>
      <c r="K108" s="24">
        <v>527449.8</v>
      </c>
      <c r="L108" s="25">
        <v>800000</v>
      </c>
      <c r="M108" s="71">
        <f t="shared" si="1"/>
        <v>0</v>
      </c>
      <c r="N108" s="1"/>
    </row>
    <row r="109" spans="1:14" ht="12.75">
      <c r="A109" s="51"/>
      <c r="B109" s="40"/>
      <c r="C109" s="52"/>
      <c r="D109" s="52"/>
      <c r="E109" s="22"/>
      <c r="F109" s="21"/>
      <c r="G109" s="25"/>
      <c r="H109" s="25"/>
      <c r="I109" s="25"/>
      <c r="J109" s="25"/>
      <c r="K109" s="18"/>
      <c r="L109" s="25"/>
      <c r="M109" s="70"/>
      <c r="N109" s="1"/>
    </row>
    <row r="110" spans="1:14" ht="12.75">
      <c r="A110" s="53">
        <v>10</v>
      </c>
      <c r="B110" s="37" t="s">
        <v>52</v>
      </c>
      <c r="C110" s="52"/>
      <c r="D110" s="52"/>
      <c r="E110" s="22"/>
      <c r="F110" s="52"/>
      <c r="G110" s="25"/>
      <c r="H110" s="25"/>
      <c r="I110" s="25"/>
      <c r="J110" s="22"/>
      <c r="K110" s="18"/>
      <c r="L110" s="22"/>
      <c r="M110" s="70"/>
      <c r="N110" s="1"/>
    </row>
    <row r="111" spans="1:14" ht="12.75">
      <c r="A111" s="51">
        <v>1</v>
      </c>
      <c r="B111" s="35" t="s">
        <v>53</v>
      </c>
      <c r="C111" s="52"/>
      <c r="D111" s="52"/>
      <c r="E111" s="22"/>
      <c r="F111" s="52"/>
      <c r="G111" s="25">
        <v>16100000</v>
      </c>
      <c r="H111" s="25">
        <v>16100000</v>
      </c>
      <c r="I111" s="25"/>
      <c r="J111" s="25">
        <v>15000000</v>
      </c>
      <c r="K111" s="25">
        <v>11624962.5</v>
      </c>
      <c r="L111" s="25">
        <v>15000000</v>
      </c>
      <c r="M111" s="71">
        <f t="shared" si="1"/>
        <v>0</v>
      </c>
      <c r="N111" s="1"/>
    </row>
    <row r="112" spans="1:14" ht="12.75">
      <c r="A112" s="51"/>
      <c r="B112" s="35"/>
      <c r="C112" s="52"/>
      <c r="D112" s="52"/>
      <c r="E112" s="22"/>
      <c r="F112" s="52"/>
      <c r="G112" s="25"/>
      <c r="H112" s="25"/>
      <c r="I112" s="25"/>
      <c r="J112" s="25"/>
      <c r="K112" s="18"/>
      <c r="L112" s="25"/>
      <c r="M112" s="70"/>
      <c r="N112" s="1"/>
    </row>
    <row r="113" spans="1:14" ht="12.75">
      <c r="A113" s="16">
        <v>11</v>
      </c>
      <c r="B113" s="27" t="s">
        <v>54</v>
      </c>
      <c r="C113" s="6"/>
      <c r="D113" s="6"/>
      <c r="E113" s="18"/>
      <c r="F113" s="6"/>
      <c r="G113" s="25"/>
      <c r="H113" s="25"/>
      <c r="I113" s="25"/>
      <c r="J113" s="18"/>
      <c r="K113" s="18"/>
      <c r="L113" s="18"/>
      <c r="M113" s="70"/>
      <c r="N113" s="1"/>
    </row>
    <row r="114" spans="1:14" ht="12.75">
      <c r="A114" s="19">
        <v>1</v>
      </c>
      <c r="B114" s="20" t="s">
        <v>55</v>
      </c>
      <c r="C114" s="6"/>
      <c r="D114" s="6"/>
      <c r="E114" s="18"/>
      <c r="F114" s="6"/>
      <c r="G114" s="25"/>
      <c r="H114" s="25"/>
      <c r="I114" s="25"/>
      <c r="J114" s="18"/>
      <c r="K114" s="18"/>
      <c r="L114" s="18"/>
      <c r="M114" s="70"/>
      <c r="N114" s="1"/>
    </row>
    <row r="115" spans="1:14" ht="12.75">
      <c r="A115" s="51"/>
      <c r="B115" s="35" t="s">
        <v>56</v>
      </c>
      <c r="C115" s="52"/>
      <c r="D115" s="52"/>
      <c r="E115" s="22">
        <v>1600000</v>
      </c>
      <c r="F115" s="22"/>
      <c r="G115" s="22">
        <v>2200000</v>
      </c>
      <c r="H115" s="22">
        <v>3000000</v>
      </c>
      <c r="I115" s="22"/>
      <c r="J115" s="22">
        <v>2500000</v>
      </c>
      <c r="K115" s="18">
        <v>1184718</v>
      </c>
      <c r="L115" s="22">
        <v>2500000</v>
      </c>
      <c r="M115" s="70">
        <f t="shared" si="1"/>
        <v>0</v>
      </c>
      <c r="N115" s="1"/>
    </row>
    <row r="116" spans="1:14" ht="12.75">
      <c r="A116" s="51"/>
      <c r="B116" s="35" t="s">
        <v>57</v>
      </c>
      <c r="C116" s="52"/>
      <c r="D116" s="52"/>
      <c r="E116" s="22">
        <v>50000</v>
      </c>
      <c r="F116" s="22"/>
      <c r="G116" s="22">
        <v>50000</v>
      </c>
      <c r="H116" s="22">
        <v>50000</v>
      </c>
      <c r="I116" s="22"/>
      <c r="J116" s="22">
        <v>50000</v>
      </c>
      <c r="K116" s="18">
        <v>0</v>
      </c>
      <c r="L116" s="22">
        <v>50000</v>
      </c>
      <c r="M116" s="70">
        <f t="shared" si="1"/>
        <v>0</v>
      </c>
      <c r="N116" s="1"/>
    </row>
    <row r="117" spans="1:14" ht="12.75">
      <c r="A117" s="51"/>
      <c r="B117" s="35" t="s">
        <v>58</v>
      </c>
      <c r="C117" s="52"/>
      <c r="D117" s="52"/>
      <c r="E117" s="22">
        <v>70000</v>
      </c>
      <c r="F117" s="22"/>
      <c r="G117" s="22">
        <v>390000</v>
      </c>
      <c r="H117" s="22">
        <v>450000</v>
      </c>
      <c r="I117" s="22"/>
      <c r="J117" s="22">
        <v>280000</v>
      </c>
      <c r="K117" s="22">
        <v>89160</v>
      </c>
      <c r="L117" s="22">
        <v>280000</v>
      </c>
      <c r="M117" s="70">
        <f t="shared" si="1"/>
        <v>0</v>
      </c>
      <c r="N117" s="1"/>
    </row>
    <row r="118" spans="1:14" ht="12.75">
      <c r="A118" s="51"/>
      <c r="B118" s="35" t="s">
        <v>59</v>
      </c>
      <c r="C118" s="52"/>
      <c r="D118" s="52"/>
      <c r="E118" s="22">
        <v>50000</v>
      </c>
      <c r="F118" s="22"/>
      <c r="G118" s="22">
        <v>200000</v>
      </c>
      <c r="H118" s="22">
        <v>100000</v>
      </c>
      <c r="I118" s="22"/>
      <c r="J118" s="22">
        <v>200000</v>
      </c>
      <c r="K118" s="22">
        <v>77383.34</v>
      </c>
      <c r="L118" s="22">
        <v>200000</v>
      </c>
      <c r="M118" s="70">
        <f t="shared" si="1"/>
        <v>0</v>
      </c>
      <c r="N118" s="1"/>
    </row>
    <row r="119" spans="1:14" ht="12.75">
      <c r="A119" s="51"/>
      <c r="B119" s="59" t="s">
        <v>87</v>
      </c>
      <c r="C119" s="52"/>
      <c r="D119" s="52"/>
      <c r="E119" s="22">
        <v>180000</v>
      </c>
      <c r="F119" s="22"/>
      <c r="G119" s="22">
        <v>206000</v>
      </c>
      <c r="H119" s="22">
        <v>250000</v>
      </c>
      <c r="I119" s="22"/>
      <c r="J119" s="22">
        <v>117000</v>
      </c>
      <c r="K119" s="22">
        <v>117000</v>
      </c>
      <c r="L119" s="22">
        <v>117000</v>
      </c>
      <c r="M119" s="70">
        <f t="shared" si="1"/>
        <v>0</v>
      </c>
      <c r="N119" s="1"/>
    </row>
    <row r="120" spans="1:14" ht="12.75">
      <c r="A120" s="51"/>
      <c r="B120" s="35" t="s">
        <v>60</v>
      </c>
      <c r="C120" s="52"/>
      <c r="D120" s="52"/>
      <c r="E120" s="22">
        <v>70000</v>
      </c>
      <c r="F120" s="22"/>
      <c r="G120" s="22">
        <v>100000</v>
      </c>
      <c r="H120" s="22">
        <v>150000</v>
      </c>
      <c r="I120" s="22"/>
      <c r="J120" s="22">
        <v>50000</v>
      </c>
      <c r="K120" s="22">
        <v>14945</v>
      </c>
      <c r="L120" s="22">
        <v>50000</v>
      </c>
      <c r="M120" s="70">
        <f t="shared" si="1"/>
        <v>0</v>
      </c>
      <c r="N120" s="1"/>
    </row>
    <row r="121" spans="1:14" ht="12.75">
      <c r="A121" s="51"/>
      <c r="B121" s="35" t="s">
        <v>120</v>
      </c>
      <c r="C121" s="52"/>
      <c r="D121" s="52"/>
      <c r="E121" s="22">
        <v>240000</v>
      </c>
      <c r="F121" s="22"/>
      <c r="G121" s="22">
        <v>490000</v>
      </c>
      <c r="H121" s="22">
        <v>150000</v>
      </c>
      <c r="I121" s="22"/>
      <c r="J121" s="22">
        <v>800000</v>
      </c>
      <c r="K121" s="22">
        <v>393186</v>
      </c>
      <c r="L121" s="22">
        <v>800000</v>
      </c>
      <c r="M121" s="70">
        <f t="shared" si="1"/>
        <v>0</v>
      </c>
      <c r="N121" s="1"/>
    </row>
    <row r="122" spans="1:14" ht="12.75">
      <c r="A122" s="51"/>
      <c r="B122" s="35" t="s">
        <v>119</v>
      </c>
      <c r="C122" s="52"/>
      <c r="D122" s="52"/>
      <c r="E122" s="22"/>
      <c r="F122" s="22"/>
      <c r="G122" s="22"/>
      <c r="H122" s="22"/>
      <c r="I122" s="22"/>
      <c r="J122" s="22">
        <v>100000</v>
      </c>
      <c r="K122" s="22">
        <v>0</v>
      </c>
      <c r="L122" s="22">
        <v>100000</v>
      </c>
      <c r="M122" s="70">
        <f t="shared" si="1"/>
        <v>0</v>
      </c>
      <c r="N122" s="1"/>
    </row>
    <row r="123" spans="1:14" ht="12.75">
      <c r="A123" s="51"/>
      <c r="B123" s="35" t="s">
        <v>61</v>
      </c>
      <c r="C123" s="52"/>
      <c r="D123" s="52"/>
      <c r="E123" s="22">
        <v>900000</v>
      </c>
      <c r="F123" s="22"/>
      <c r="G123" s="22">
        <v>1600000</v>
      </c>
      <c r="H123" s="22">
        <v>1000000</v>
      </c>
      <c r="I123" s="22"/>
      <c r="J123" s="22">
        <v>1500000</v>
      </c>
      <c r="K123" s="22">
        <v>498560</v>
      </c>
      <c r="L123" s="22">
        <v>1500000</v>
      </c>
      <c r="M123" s="70">
        <f t="shared" si="1"/>
        <v>0</v>
      </c>
      <c r="N123" s="1"/>
    </row>
    <row r="124" spans="1:14" ht="12.75">
      <c r="A124" s="51"/>
      <c r="B124" s="35" t="s">
        <v>62</v>
      </c>
      <c r="C124" s="52"/>
      <c r="D124" s="52"/>
      <c r="E124" s="22">
        <v>3900000</v>
      </c>
      <c r="F124" s="22"/>
      <c r="G124" s="22">
        <v>5150000</v>
      </c>
      <c r="H124" s="22">
        <v>5040000</v>
      </c>
      <c r="I124" s="22"/>
      <c r="J124" s="22">
        <f>2200000+10190000+990000</f>
        <v>13380000</v>
      </c>
      <c r="K124" s="22">
        <f>3830656.81+59600+41860+89500+33984+59500</f>
        <v>4115100.81</v>
      </c>
      <c r="L124" s="22">
        <f>2200000+9890000+2000000+4000000</f>
        <v>18090000</v>
      </c>
      <c r="M124" s="70">
        <f t="shared" si="1"/>
        <v>4710000</v>
      </c>
      <c r="N124" s="1"/>
    </row>
    <row r="125" spans="1:14" ht="12.75">
      <c r="A125" s="51">
        <v>2</v>
      </c>
      <c r="B125" s="35" t="s">
        <v>63</v>
      </c>
      <c r="C125" s="52"/>
      <c r="D125" s="52"/>
      <c r="E125" s="22">
        <v>300000</v>
      </c>
      <c r="F125" s="22"/>
      <c r="G125" s="22">
        <v>196000</v>
      </c>
      <c r="H125" s="22">
        <v>140000</v>
      </c>
      <c r="I125" s="22"/>
      <c r="J125" s="22">
        <v>490000</v>
      </c>
      <c r="K125" s="22">
        <v>51444.08</v>
      </c>
      <c r="L125" s="22">
        <v>490000</v>
      </c>
      <c r="M125" s="70">
        <f t="shared" si="1"/>
        <v>0</v>
      </c>
      <c r="N125" s="1"/>
    </row>
    <row r="126" spans="1:14" ht="12.75">
      <c r="A126" s="51">
        <v>3</v>
      </c>
      <c r="B126" s="35" t="s">
        <v>143</v>
      </c>
      <c r="C126" s="52"/>
      <c r="D126" s="52"/>
      <c r="E126" s="22">
        <v>1500000</v>
      </c>
      <c r="F126" s="22"/>
      <c r="G126" s="22">
        <v>2000000</v>
      </c>
      <c r="H126" s="22">
        <v>2000000</v>
      </c>
      <c r="I126" s="22"/>
      <c r="J126" s="22">
        <f>300000+3700000</f>
        <v>4000000</v>
      </c>
      <c r="K126" s="22">
        <f>2335284.9+195708</f>
        <v>2530992.9</v>
      </c>
      <c r="L126" s="22">
        <f>300000+3700000</f>
        <v>4000000</v>
      </c>
      <c r="M126" s="70">
        <f t="shared" si="1"/>
        <v>0</v>
      </c>
      <c r="N126" s="1"/>
    </row>
    <row r="127" spans="1:14" ht="12.75">
      <c r="A127" s="51">
        <v>4</v>
      </c>
      <c r="B127" s="35" t="s">
        <v>64</v>
      </c>
      <c r="C127" s="52"/>
      <c r="D127" s="52"/>
      <c r="E127" s="22">
        <v>550000</v>
      </c>
      <c r="F127" s="22"/>
      <c r="G127" s="22">
        <v>990000</v>
      </c>
      <c r="H127" s="22">
        <v>1500000</v>
      </c>
      <c r="I127" s="22"/>
      <c r="J127" s="22">
        <f>630000+330000</f>
        <v>960000</v>
      </c>
      <c r="K127" s="22">
        <v>545763.89</v>
      </c>
      <c r="L127" s="22">
        <f>630000+330000</f>
        <v>960000</v>
      </c>
      <c r="M127" s="70">
        <f t="shared" si="1"/>
        <v>0</v>
      </c>
      <c r="N127" s="1"/>
    </row>
    <row r="128" spans="1:14" ht="12.75">
      <c r="A128" s="51">
        <v>5</v>
      </c>
      <c r="B128" s="35" t="s">
        <v>65</v>
      </c>
      <c r="C128" s="52"/>
      <c r="D128" s="52"/>
      <c r="E128" s="22">
        <v>50000</v>
      </c>
      <c r="F128" s="22"/>
      <c r="G128" s="22">
        <v>50000</v>
      </c>
      <c r="H128" s="22">
        <v>50000</v>
      </c>
      <c r="I128" s="22"/>
      <c r="J128" s="22">
        <v>80000</v>
      </c>
      <c r="K128" s="22">
        <v>50885</v>
      </c>
      <c r="L128" s="22">
        <v>90000</v>
      </c>
      <c r="M128" s="70">
        <f t="shared" si="1"/>
        <v>10000</v>
      </c>
      <c r="N128" s="1"/>
    </row>
    <row r="129" spans="1:14" ht="12.75">
      <c r="A129" s="51">
        <v>6</v>
      </c>
      <c r="B129" s="35" t="s">
        <v>66</v>
      </c>
      <c r="C129" s="52"/>
      <c r="D129" s="52"/>
      <c r="E129" s="22">
        <v>45703.54</v>
      </c>
      <c r="F129" s="22"/>
      <c r="G129" s="22">
        <v>220000</v>
      </c>
      <c r="H129" s="22">
        <v>300000</v>
      </c>
      <c r="I129" s="22"/>
      <c r="J129" s="22">
        <v>160000</v>
      </c>
      <c r="K129" s="22">
        <v>153110</v>
      </c>
      <c r="L129" s="22">
        <v>153110</v>
      </c>
      <c r="M129" s="70">
        <f t="shared" si="1"/>
        <v>-6890</v>
      </c>
      <c r="N129" s="1"/>
    </row>
    <row r="130" spans="1:14" ht="12.75">
      <c r="A130" s="51">
        <v>7</v>
      </c>
      <c r="B130" s="35" t="s">
        <v>67</v>
      </c>
      <c r="C130" s="52"/>
      <c r="D130" s="52"/>
      <c r="E130" s="22">
        <v>10227.15</v>
      </c>
      <c r="F130" s="22"/>
      <c r="G130" s="22">
        <v>12000</v>
      </c>
      <c r="H130" s="22">
        <v>15000</v>
      </c>
      <c r="I130" s="22"/>
      <c r="J130" s="22">
        <v>20000</v>
      </c>
      <c r="K130" s="22">
        <v>888.76</v>
      </c>
      <c r="L130" s="22">
        <v>890</v>
      </c>
      <c r="M130" s="70">
        <f t="shared" si="1"/>
        <v>-19110</v>
      </c>
      <c r="N130" s="1"/>
    </row>
    <row r="131" spans="1:14" ht="12.75">
      <c r="A131" s="51">
        <v>8</v>
      </c>
      <c r="B131" s="35" t="s">
        <v>98</v>
      </c>
      <c r="C131" s="52"/>
      <c r="D131" s="52"/>
      <c r="E131" s="22"/>
      <c r="F131" s="22"/>
      <c r="G131" s="22">
        <v>430000</v>
      </c>
      <c r="H131" s="22">
        <v>540000</v>
      </c>
      <c r="I131" s="22"/>
      <c r="J131" s="22">
        <v>350000</v>
      </c>
      <c r="K131" s="22">
        <v>96866.37</v>
      </c>
      <c r="L131" s="22">
        <v>350000</v>
      </c>
      <c r="M131" s="70">
        <f t="shared" si="1"/>
        <v>0</v>
      </c>
      <c r="N131" s="1"/>
    </row>
    <row r="132" spans="1:14" ht="12.75">
      <c r="A132" s="51">
        <v>9</v>
      </c>
      <c r="B132" s="35" t="s">
        <v>68</v>
      </c>
      <c r="C132" s="52"/>
      <c r="D132" s="52"/>
      <c r="E132" s="22">
        <v>120000</v>
      </c>
      <c r="F132" s="22"/>
      <c r="G132" s="22">
        <v>200000</v>
      </c>
      <c r="H132" s="22">
        <v>100000</v>
      </c>
      <c r="I132" s="22"/>
      <c r="J132" s="22">
        <v>80000</v>
      </c>
      <c r="K132" s="22">
        <v>35775</v>
      </c>
      <c r="L132" s="22">
        <v>80000</v>
      </c>
      <c r="M132" s="70">
        <f t="shared" si="1"/>
        <v>0</v>
      </c>
      <c r="N132" s="1"/>
    </row>
    <row r="133" spans="1:14" ht="12.75">
      <c r="A133" s="51">
        <v>10</v>
      </c>
      <c r="B133" s="35" t="s">
        <v>88</v>
      </c>
      <c r="C133" s="52"/>
      <c r="D133" s="52"/>
      <c r="E133" s="22">
        <v>17390.82</v>
      </c>
      <c r="F133" s="22"/>
      <c r="G133" s="22">
        <v>25200</v>
      </c>
      <c r="H133" s="22">
        <v>30000</v>
      </c>
      <c r="I133" s="22"/>
      <c r="J133" s="22">
        <v>28400</v>
      </c>
      <c r="K133" s="22">
        <v>28460.3</v>
      </c>
      <c r="L133" s="22">
        <v>28400</v>
      </c>
      <c r="M133" s="70">
        <f t="shared" si="1"/>
        <v>0</v>
      </c>
      <c r="N133" s="1"/>
    </row>
    <row r="134" spans="1:14" ht="12.75">
      <c r="A134" s="51">
        <v>11</v>
      </c>
      <c r="B134" s="35" t="s">
        <v>93</v>
      </c>
      <c r="C134" s="52"/>
      <c r="D134" s="52"/>
      <c r="E134" s="22">
        <v>1600000</v>
      </c>
      <c r="F134" s="22"/>
      <c r="G134" s="22">
        <v>5000000</v>
      </c>
      <c r="H134" s="22">
        <v>5000000</v>
      </c>
      <c r="I134" s="22"/>
      <c r="J134" s="22">
        <v>1700000</v>
      </c>
      <c r="K134" s="22">
        <v>930015.83</v>
      </c>
      <c r="L134" s="22">
        <v>1700000</v>
      </c>
      <c r="M134" s="70">
        <f t="shared" si="1"/>
        <v>0</v>
      </c>
      <c r="N134" s="1"/>
    </row>
    <row r="135" spans="1:14" ht="12.75">
      <c r="A135" s="51">
        <v>12</v>
      </c>
      <c r="B135" s="35" t="s">
        <v>135</v>
      </c>
      <c r="C135" s="52"/>
      <c r="D135" s="52"/>
      <c r="E135" s="22"/>
      <c r="F135" s="22"/>
      <c r="G135" s="22"/>
      <c r="H135" s="22"/>
      <c r="I135" s="22"/>
      <c r="J135" s="22">
        <v>300000</v>
      </c>
      <c r="K135" s="22">
        <f>5427.83+102342+48460</f>
        <v>156229.83000000002</v>
      </c>
      <c r="L135" s="22">
        <v>450000</v>
      </c>
      <c r="M135" s="70">
        <f t="shared" si="1"/>
        <v>150000</v>
      </c>
      <c r="N135" s="1"/>
    </row>
    <row r="136" spans="1:14" ht="12.75">
      <c r="A136" s="51">
        <v>13</v>
      </c>
      <c r="B136" s="35" t="s">
        <v>69</v>
      </c>
      <c r="C136" s="52"/>
      <c r="D136" s="52"/>
      <c r="E136" s="22">
        <v>100000</v>
      </c>
      <c r="F136" s="22"/>
      <c r="G136" s="22">
        <v>300000</v>
      </c>
      <c r="H136" s="22">
        <v>300000</v>
      </c>
      <c r="I136" s="22"/>
      <c r="J136" s="22">
        <v>650000</v>
      </c>
      <c r="K136" s="22">
        <v>146137.73</v>
      </c>
      <c r="L136" s="22">
        <v>500000</v>
      </c>
      <c r="M136" s="70">
        <f t="shared" si="1"/>
        <v>-150000</v>
      </c>
      <c r="N136" s="1"/>
    </row>
    <row r="137" spans="1:14" ht="12.75">
      <c r="A137" s="58" t="s">
        <v>30</v>
      </c>
      <c r="B137" s="37"/>
      <c r="C137" s="52"/>
      <c r="D137" s="52"/>
      <c r="E137" s="25">
        <f>SUM(E115:E136)</f>
        <v>11353321.51</v>
      </c>
      <c r="F137" s="25"/>
      <c r="G137" s="25">
        <f>SUM(G115:G136)</f>
        <v>19809200</v>
      </c>
      <c r="H137" s="25">
        <f>SUM(H115:H136)</f>
        <v>20165000</v>
      </c>
      <c r="I137" s="25"/>
      <c r="J137" s="25">
        <f>SUM(J115:J136)</f>
        <v>27795400</v>
      </c>
      <c r="K137" s="24">
        <f>SUM(K115:K136)</f>
        <v>11216622.840000002</v>
      </c>
      <c r="L137" s="25">
        <f>SUM(L115:L136)</f>
        <v>32489400</v>
      </c>
      <c r="M137" s="71">
        <f t="shared" si="1"/>
        <v>4694000</v>
      </c>
      <c r="N137" s="1"/>
    </row>
    <row r="138" spans="1:14" ht="12.75">
      <c r="A138" s="58"/>
      <c r="B138" s="37"/>
      <c r="C138" s="52"/>
      <c r="D138" s="52"/>
      <c r="E138" s="25"/>
      <c r="F138" s="25"/>
      <c r="G138" s="25"/>
      <c r="H138" s="25"/>
      <c r="I138" s="25"/>
      <c r="J138" s="22"/>
      <c r="K138" s="18"/>
      <c r="L138" s="22"/>
      <c r="M138" s="70"/>
      <c r="N138" s="1"/>
    </row>
    <row r="139" spans="1:14" ht="12.75">
      <c r="A139" s="53">
        <v>12</v>
      </c>
      <c r="B139" s="37" t="s">
        <v>70</v>
      </c>
      <c r="C139" s="52"/>
      <c r="D139" s="52"/>
      <c r="E139" s="25"/>
      <c r="F139" s="52"/>
      <c r="G139" s="25"/>
      <c r="H139" s="25"/>
      <c r="I139" s="25"/>
      <c r="J139" s="22"/>
      <c r="K139" s="18"/>
      <c r="L139" s="22"/>
      <c r="M139" s="70"/>
      <c r="N139" s="1"/>
    </row>
    <row r="140" spans="1:14" ht="12.75">
      <c r="A140" s="51">
        <v>1</v>
      </c>
      <c r="B140" s="35" t="s">
        <v>71</v>
      </c>
      <c r="C140" s="52"/>
      <c r="D140" s="52"/>
      <c r="E140" s="22">
        <v>800000</v>
      </c>
      <c r="F140" s="21"/>
      <c r="G140" s="22">
        <v>800000</v>
      </c>
      <c r="H140" s="22">
        <v>500000</v>
      </c>
      <c r="I140" s="22"/>
      <c r="J140" s="22">
        <v>10000</v>
      </c>
      <c r="K140" s="18">
        <v>4447.77</v>
      </c>
      <c r="L140" s="22">
        <v>10000</v>
      </c>
      <c r="M140" s="70">
        <f aca="true" t="shared" si="2" ref="M140:M171">L140-J140</f>
        <v>0</v>
      </c>
      <c r="N140" s="1"/>
    </row>
    <row r="141" spans="1:14" ht="12.75">
      <c r="A141" s="58" t="s">
        <v>30</v>
      </c>
      <c r="B141" s="37"/>
      <c r="C141" s="52"/>
      <c r="D141" s="52"/>
      <c r="E141" s="25">
        <v>800000</v>
      </c>
      <c r="F141" s="38"/>
      <c r="G141" s="25">
        <f>G140</f>
        <v>800000</v>
      </c>
      <c r="H141" s="25">
        <f>H140</f>
        <v>500000</v>
      </c>
      <c r="I141" s="25"/>
      <c r="J141" s="25">
        <f>J140</f>
        <v>10000</v>
      </c>
      <c r="K141" s="24">
        <f>K140</f>
        <v>4447.77</v>
      </c>
      <c r="L141" s="25">
        <f>L140</f>
        <v>10000</v>
      </c>
      <c r="M141" s="71">
        <f t="shared" si="2"/>
        <v>0</v>
      </c>
      <c r="N141" s="1"/>
    </row>
    <row r="142" spans="1:14" ht="12.75">
      <c r="A142" s="58"/>
      <c r="B142" s="37"/>
      <c r="C142" s="52"/>
      <c r="D142" s="52"/>
      <c r="E142" s="25"/>
      <c r="F142" s="38"/>
      <c r="G142" s="25"/>
      <c r="H142" s="25"/>
      <c r="I142" s="25"/>
      <c r="J142" s="25"/>
      <c r="K142" s="18"/>
      <c r="L142" s="25"/>
      <c r="M142" s="70"/>
      <c r="N142" s="1"/>
    </row>
    <row r="143" spans="1:14" ht="12.75">
      <c r="A143" s="36"/>
      <c r="B143" s="39"/>
      <c r="C143" s="6"/>
      <c r="D143" s="6"/>
      <c r="E143" s="24"/>
      <c r="F143" s="38"/>
      <c r="G143" s="24"/>
      <c r="H143" s="24"/>
      <c r="I143" s="24"/>
      <c r="J143" s="18"/>
      <c r="K143" s="18"/>
      <c r="L143" s="18"/>
      <c r="M143" s="70"/>
      <c r="N143" s="1"/>
    </row>
    <row r="144" spans="1:15" ht="12.75">
      <c r="A144" s="42">
        <v>13</v>
      </c>
      <c r="B144" s="39" t="s">
        <v>153</v>
      </c>
      <c r="C144" s="6"/>
      <c r="D144" s="6"/>
      <c r="E144" s="24"/>
      <c r="F144" s="38"/>
      <c r="G144" s="24"/>
      <c r="H144" s="24"/>
      <c r="I144" s="24"/>
      <c r="J144" s="18"/>
      <c r="K144" s="18"/>
      <c r="L144" s="18"/>
      <c r="M144" s="70"/>
      <c r="N144" s="1"/>
      <c r="O144" s="1"/>
    </row>
    <row r="145" spans="1:14" ht="12.75">
      <c r="A145" s="44" t="s">
        <v>0</v>
      </c>
      <c r="B145" s="45" t="s">
        <v>72</v>
      </c>
      <c r="C145" s="6"/>
      <c r="D145" s="6"/>
      <c r="E145" s="18">
        <v>2000000</v>
      </c>
      <c r="F145" s="21"/>
      <c r="G145" s="18">
        <v>4500000</v>
      </c>
      <c r="H145" s="22">
        <v>6200000</v>
      </c>
      <c r="I145" s="22"/>
      <c r="J145" s="18">
        <v>5000000</v>
      </c>
      <c r="K145" s="18">
        <v>0</v>
      </c>
      <c r="L145" s="18">
        <v>5000000</v>
      </c>
      <c r="M145" s="70">
        <f t="shared" si="2"/>
        <v>0</v>
      </c>
      <c r="N145" s="1"/>
    </row>
    <row r="146" spans="1:14" ht="12.75">
      <c r="A146" s="44" t="s">
        <v>1</v>
      </c>
      <c r="B146" s="45" t="s">
        <v>89</v>
      </c>
      <c r="C146" s="6"/>
      <c r="D146" s="6"/>
      <c r="E146" s="18">
        <v>1000000</v>
      </c>
      <c r="F146" s="21"/>
      <c r="G146" s="18">
        <v>1200000</v>
      </c>
      <c r="H146" s="18">
        <v>1200000</v>
      </c>
      <c r="I146" s="18"/>
      <c r="J146" s="18">
        <v>1500000</v>
      </c>
      <c r="K146" s="18">
        <f>423661.71+2221.3</f>
        <v>425883.01</v>
      </c>
      <c r="L146" s="18">
        <v>1500000</v>
      </c>
      <c r="M146" s="70">
        <f t="shared" si="2"/>
        <v>0</v>
      </c>
      <c r="N146" s="1"/>
    </row>
    <row r="147" spans="1:14" ht="12.75">
      <c r="A147" s="36" t="s">
        <v>30</v>
      </c>
      <c r="B147" s="39"/>
      <c r="C147" s="6"/>
      <c r="D147" s="6"/>
      <c r="E147" s="24">
        <f>SUM(E145:E146)</f>
        <v>3000000</v>
      </c>
      <c r="F147" s="24"/>
      <c r="G147" s="24">
        <f>SUM(G145:G146)</f>
        <v>5700000</v>
      </c>
      <c r="H147" s="24">
        <f>H145+H146</f>
        <v>7400000</v>
      </c>
      <c r="I147" s="24"/>
      <c r="J147" s="24">
        <f>SUM(J145:J146)</f>
        <v>6500000</v>
      </c>
      <c r="K147" s="24">
        <f>SUM(K145:K146)</f>
        <v>425883.01</v>
      </c>
      <c r="L147" s="24">
        <f>SUM(L145:L146)</f>
        <v>6500000</v>
      </c>
      <c r="M147" s="71">
        <f t="shared" si="2"/>
        <v>0</v>
      </c>
      <c r="N147" s="1"/>
    </row>
    <row r="148" spans="1:14" ht="12.75">
      <c r="A148" s="36"/>
      <c r="B148" s="39"/>
      <c r="C148" s="6"/>
      <c r="D148" s="6"/>
      <c r="E148" s="24"/>
      <c r="F148" s="24"/>
      <c r="G148" s="24"/>
      <c r="H148" s="24"/>
      <c r="I148" s="24"/>
      <c r="J148" s="24"/>
      <c r="K148" s="18"/>
      <c r="L148" s="24"/>
      <c r="M148" s="70"/>
      <c r="N148" s="1"/>
    </row>
    <row r="149" spans="1:14" ht="12.75">
      <c r="A149" s="79" t="s">
        <v>145</v>
      </c>
      <c r="B149" s="80"/>
      <c r="C149" s="6"/>
      <c r="D149" s="6"/>
      <c r="E149" s="24" t="e">
        <f>E56+E63+E69+E74+E88+E93+#REF!+#REF!+E137+E141+#REF!+E147</f>
        <v>#REF!</v>
      </c>
      <c r="F149" s="24"/>
      <c r="G149" s="24" t="e">
        <f>G56+G63+G69+G74+G88+G93+G96+G105+G108+G111+G137+G141+#REF!+G147</f>
        <v>#REF!</v>
      </c>
      <c r="H149" s="24" t="e">
        <f>H56+H63+H69+H74+H88+H93+H96+H105+H108+H111+H137+H141+#REF!+H147</f>
        <v>#REF!</v>
      </c>
      <c r="I149" s="24"/>
      <c r="J149" s="24">
        <f>J56+J63+J69+J74+J88+J93+J96+J105+J108+J111+J137+J141+J147</f>
        <v>293505400</v>
      </c>
      <c r="K149" s="24">
        <f>K56+K63+K69+K74+K88+K93+K96+K105+K108+K111+K137+K141+K147</f>
        <v>167266823.23000002</v>
      </c>
      <c r="L149" s="24">
        <f>L56+L63+L69+L74+L88+L93+L96+L105+L108+L111+L137+L141+L147</f>
        <v>311529400</v>
      </c>
      <c r="M149" s="71">
        <f t="shared" si="2"/>
        <v>18024000</v>
      </c>
      <c r="N149" s="1"/>
    </row>
    <row r="150" spans="1:14" ht="12.75">
      <c r="A150" s="92" t="s">
        <v>136</v>
      </c>
      <c r="B150" s="93"/>
      <c r="C150" s="93"/>
      <c r="D150" s="93"/>
      <c r="E150" s="93"/>
      <c r="F150" s="93"/>
      <c r="G150" s="24"/>
      <c r="H150" s="24"/>
      <c r="I150" s="24"/>
      <c r="J150" s="18"/>
      <c r="K150" s="18"/>
      <c r="L150" s="18"/>
      <c r="M150" s="70"/>
      <c r="N150" s="1"/>
    </row>
    <row r="151" spans="1:14" ht="12.75">
      <c r="A151" s="16"/>
      <c r="B151" s="17" t="s">
        <v>73</v>
      </c>
      <c r="C151" s="6"/>
      <c r="D151" s="6"/>
      <c r="E151" s="18"/>
      <c r="F151" s="18"/>
      <c r="G151" s="24"/>
      <c r="H151" s="24"/>
      <c r="I151" s="24"/>
      <c r="J151" s="18"/>
      <c r="K151" s="18"/>
      <c r="L151" s="18"/>
      <c r="M151" s="70"/>
      <c r="N151" s="1"/>
    </row>
    <row r="152" spans="1:14" ht="12.75">
      <c r="A152" s="19">
        <v>1</v>
      </c>
      <c r="B152" s="20" t="s">
        <v>74</v>
      </c>
      <c r="C152" s="6"/>
      <c r="D152" s="6"/>
      <c r="E152" s="18">
        <v>3400000</v>
      </c>
      <c r="F152" s="18"/>
      <c r="G152" s="18">
        <f>G11</f>
        <v>3000000</v>
      </c>
      <c r="H152" s="18">
        <f>H11</f>
        <v>3100000</v>
      </c>
      <c r="I152" s="18"/>
      <c r="J152" s="18">
        <f>J11</f>
        <v>10839400</v>
      </c>
      <c r="K152" s="18">
        <f>K11</f>
        <v>6700807.54</v>
      </c>
      <c r="L152" s="18">
        <f>L11</f>
        <v>10839400</v>
      </c>
      <c r="M152" s="70">
        <f t="shared" si="2"/>
        <v>0</v>
      </c>
      <c r="N152" s="1"/>
    </row>
    <row r="153" spans="1:14" ht="25.5">
      <c r="A153" s="19">
        <v>2</v>
      </c>
      <c r="B153" s="46" t="s">
        <v>133</v>
      </c>
      <c r="C153" s="6"/>
      <c r="D153" s="6"/>
      <c r="E153" s="18"/>
      <c r="F153" s="18"/>
      <c r="G153" s="18"/>
      <c r="H153" s="18"/>
      <c r="I153" s="18"/>
      <c r="J153" s="18">
        <f>J14</f>
        <v>1500000</v>
      </c>
      <c r="K153" s="18">
        <f>K14</f>
        <v>471076.8</v>
      </c>
      <c r="L153" s="18">
        <f>L14</f>
        <v>1500000</v>
      </c>
      <c r="M153" s="70">
        <f t="shared" si="2"/>
        <v>0</v>
      </c>
      <c r="N153" s="1"/>
    </row>
    <row r="154" spans="1:14" ht="12.75">
      <c r="A154" s="19">
        <v>3</v>
      </c>
      <c r="B154" s="20" t="s">
        <v>75</v>
      </c>
      <c r="C154" s="6"/>
      <c r="D154" s="6"/>
      <c r="E154" s="18">
        <v>163529323.2</v>
      </c>
      <c r="F154" s="18"/>
      <c r="G154" s="18">
        <f>G40</f>
        <v>236265000</v>
      </c>
      <c r="H154" s="18">
        <f>H40</f>
        <v>226850000</v>
      </c>
      <c r="I154" s="18"/>
      <c r="J154" s="18">
        <f>J40</f>
        <v>262170000</v>
      </c>
      <c r="K154" s="18">
        <f>K40</f>
        <v>174270694.04000002</v>
      </c>
      <c r="L154" s="18">
        <f>L40</f>
        <v>280200000</v>
      </c>
      <c r="M154" s="70">
        <f t="shared" si="2"/>
        <v>18030000</v>
      </c>
      <c r="N154" s="1"/>
    </row>
    <row r="155" spans="1:14" ht="12.75">
      <c r="A155" s="19">
        <v>4</v>
      </c>
      <c r="B155" s="20" t="s">
        <v>94</v>
      </c>
      <c r="C155" s="6"/>
      <c r="D155" s="6"/>
      <c r="E155" s="18">
        <v>5800000</v>
      </c>
      <c r="F155" s="18"/>
      <c r="G155" s="18">
        <f>G45</f>
        <v>13700000</v>
      </c>
      <c r="H155" s="18">
        <f>H45</f>
        <v>13200000</v>
      </c>
      <c r="I155" s="18"/>
      <c r="J155" s="18">
        <f>J45</f>
        <v>6500000</v>
      </c>
      <c r="K155" s="18">
        <f>K45</f>
        <v>3322209.72</v>
      </c>
      <c r="L155" s="18">
        <f>L45</f>
        <v>6500000</v>
      </c>
      <c r="M155" s="70">
        <f t="shared" si="2"/>
        <v>0</v>
      </c>
      <c r="N155" s="1"/>
    </row>
    <row r="156" spans="1:14" ht="12.75">
      <c r="A156" s="19">
        <v>5</v>
      </c>
      <c r="B156" s="20" t="s">
        <v>76</v>
      </c>
      <c r="C156" s="6"/>
      <c r="D156" s="6"/>
      <c r="E156" s="18">
        <v>4500000</v>
      </c>
      <c r="F156" s="18"/>
      <c r="G156" s="18">
        <f>G51</f>
        <v>3500000</v>
      </c>
      <c r="H156" s="18">
        <f>H51</f>
        <v>3000000</v>
      </c>
      <c r="I156" s="18"/>
      <c r="J156" s="18">
        <f>J49</f>
        <v>13000000</v>
      </c>
      <c r="K156" s="18">
        <f>K49</f>
        <v>2451982.6199999996</v>
      </c>
      <c r="L156" s="18">
        <f>L49</f>
        <v>13000000</v>
      </c>
      <c r="M156" s="70">
        <f t="shared" si="2"/>
        <v>0</v>
      </c>
      <c r="N156" s="1"/>
    </row>
    <row r="157" spans="1:14" ht="12.75">
      <c r="A157" s="16" t="s">
        <v>134</v>
      </c>
      <c r="B157" s="27" t="s">
        <v>125</v>
      </c>
      <c r="C157" s="6"/>
      <c r="D157" s="6"/>
      <c r="E157" s="24">
        <f>SUM(E152:E156)</f>
        <v>177229323.2</v>
      </c>
      <c r="F157" s="24"/>
      <c r="G157" s="24">
        <f>SUM(G152:G156)</f>
        <v>256465000</v>
      </c>
      <c r="H157" s="24">
        <f>SUM(H152:H156)</f>
        <v>246150000</v>
      </c>
      <c r="I157" s="24"/>
      <c r="J157" s="24">
        <f>J152+J153+J154+J155+J156</f>
        <v>294009400</v>
      </c>
      <c r="K157" s="24">
        <f>SUM(K152:K156)</f>
        <v>187216770.72000003</v>
      </c>
      <c r="L157" s="24">
        <f>L152+L153+L154+L155+L156</f>
        <v>312039400</v>
      </c>
      <c r="M157" s="71">
        <f t="shared" si="2"/>
        <v>18030000</v>
      </c>
      <c r="N157" s="1"/>
    </row>
    <row r="158" spans="1:14" ht="12.75">
      <c r="A158" s="19">
        <v>6</v>
      </c>
      <c r="B158" s="20" t="s">
        <v>27</v>
      </c>
      <c r="C158" s="6"/>
      <c r="D158" s="6"/>
      <c r="E158" s="18">
        <v>2400000</v>
      </c>
      <c r="F158" s="18"/>
      <c r="G158" s="18">
        <f>G56</f>
        <v>2200000</v>
      </c>
      <c r="H158" s="18">
        <f>H56</f>
        <v>2400000</v>
      </c>
      <c r="I158" s="18"/>
      <c r="J158" s="18">
        <f>J56</f>
        <v>7500000</v>
      </c>
      <c r="K158" s="18">
        <f>K56</f>
        <v>3331846.77</v>
      </c>
      <c r="L158" s="18">
        <f>L56</f>
        <v>7500000</v>
      </c>
      <c r="M158" s="70">
        <f t="shared" si="2"/>
        <v>0</v>
      </c>
      <c r="N158" s="1"/>
    </row>
    <row r="159" spans="1:14" ht="12.75">
      <c r="A159" s="19">
        <v>7</v>
      </c>
      <c r="B159" s="20" t="s">
        <v>77</v>
      </c>
      <c r="C159" s="6"/>
      <c r="D159" s="6"/>
      <c r="E159" s="18">
        <v>12220000</v>
      </c>
      <c r="F159" s="18"/>
      <c r="G159" s="18">
        <f>G63</f>
        <v>25751000</v>
      </c>
      <c r="H159" s="18">
        <f>H63</f>
        <v>22180000</v>
      </c>
      <c r="I159" s="18"/>
      <c r="J159" s="18">
        <f>J63</f>
        <v>34765000</v>
      </c>
      <c r="K159" s="18">
        <f>K63</f>
        <v>15356494.379999999</v>
      </c>
      <c r="L159" s="18">
        <f>L63</f>
        <v>31145000</v>
      </c>
      <c r="M159" s="70">
        <f t="shared" si="2"/>
        <v>-3620000</v>
      </c>
      <c r="N159" s="1"/>
    </row>
    <row r="160" spans="1:14" ht="12.75">
      <c r="A160" s="19">
        <v>8</v>
      </c>
      <c r="B160" s="20" t="s">
        <v>78</v>
      </c>
      <c r="C160" s="6"/>
      <c r="D160" s="6"/>
      <c r="E160" s="18">
        <v>20260000</v>
      </c>
      <c r="F160" s="18"/>
      <c r="G160" s="18">
        <f>G69</f>
        <v>34300000</v>
      </c>
      <c r="H160" s="18">
        <f>H69</f>
        <v>29300000</v>
      </c>
      <c r="I160" s="18"/>
      <c r="J160" s="18">
        <f>J69</f>
        <v>25600000</v>
      </c>
      <c r="K160" s="18">
        <f>K69</f>
        <v>22113136.57</v>
      </c>
      <c r="L160" s="18">
        <f>L69</f>
        <v>42350000</v>
      </c>
      <c r="M160" s="70">
        <f t="shared" si="2"/>
        <v>16750000</v>
      </c>
      <c r="N160" s="1"/>
    </row>
    <row r="161" spans="1:14" ht="12.75">
      <c r="A161" s="19">
        <v>9</v>
      </c>
      <c r="B161" s="20" t="s">
        <v>40</v>
      </c>
      <c r="C161" s="6"/>
      <c r="D161" s="6"/>
      <c r="E161" s="18">
        <v>92809306</v>
      </c>
      <c r="F161" s="18"/>
      <c r="G161" s="18">
        <f>G74</f>
        <v>115996200</v>
      </c>
      <c r="H161" s="18">
        <f>H74</f>
        <v>113591200</v>
      </c>
      <c r="I161" s="18"/>
      <c r="J161" s="18">
        <f>J74</f>
        <v>127280000</v>
      </c>
      <c r="K161" s="18">
        <f>K74</f>
        <v>79981714.48</v>
      </c>
      <c r="L161" s="18">
        <f>L74</f>
        <v>127280000</v>
      </c>
      <c r="M161" s="70">
        <f t="shared" si="2"/>
        <v>0</v>
      </c>
      <c r="N161" s="1"/>
    </row>
    <row r="162" spans="1:14" ht="12.75">
      <c r="A162" s="19">
        <v>10</v>
      </c>
      <c r="B162" s="20" t="s">
        <v>79</v>
      </c>
      <c r="C162" s="6"/>
      <c r="D162" s="6"/>
      <c r="E162" s="18">
        <v>10651748</v>
      </c>
      <c r="F162" s="18"/>
      <c r="G162" s="18">
        <f>G88+G93+G96</f>
        <v>18318000</v>
      </c>
      <c r="H162" s="18">
        <f>H88+H93+H96</f>
        <v>19055000</v>
      </c>
      <c r="I162" s="18"/>
      <c r="J162" s="18">
        <f>J88+J93</f>
        <v>36715000</v>
      </c>
      <c r="K162" s="18">
        <f>K88+K93</f>
        <v>18136913.009999998</v>
      </c>
      <c r="L162" s="18">
        <f>L88+L93</f>
        <v>36715000</v>
      </c>
      <c r="M162" s="70">
        <f t="shared" si="2"/>
        <v>0</v>
      </c>
      <c r="N162" s="1"/>
    </row>
    <row r="163" spans="1:14" ht="12.75">
      <c r="A163" s="19">
        <v>11</v>
      </c>
      <c r="B163" s="20" t="s">
        <v>141</v>
      </c>
      <c r="C163" s="6"/>
      <c r="D163" s="6"/>
      <c r="E163" s="18"/>
      <c r="F163" s="18"/>
      <c r="G163" s="18"/>
      <c r="H163" s="18"/>
      <c r="I163" s="18"/>
      <c r="J163" s="18">
        <v>1000000</v>
      </c>
      <c r="K163" s="18">
        <f>K96</f>
        <v>0</v>
      </c>
      <c r="L163" s="18">
        <v>1000000</v>
      </c>
      <c r="M163" s="70">
        <f t="shared" si="2"/>
        <v>0</v>
      </c>
      <c r="N163" s="1"/>
    </row>
    <row r="164" spans="1:14" ht="12.75">
      <c r="A164" s="19">
        <v>12</v>
      </c>
      <c r="B164" s="20" t="s">
        <v>80</v>
      </c>
      <c r="C164" s="6"/>
      <c r="D164" s="6"/>
      <c r="E164" s="18">
        <v>8085000</v>
      </c>
      <c r="F164" s="18"/>
      <c r="G164" s="18">
        <f>G105</f>
        <v>11042000</v>
      </c>
      <c r="H164" s="18">
        <f>H105</f>
        <v>8850000</v>
      </c>
      <c r="I164" s="18"/>
      <c r="J164" s="18">
        <f>J105</f>
        <v>10540000</v>
      </c>
      <c r="K164" s="18">
        <f>K105</f>
        <v>4547352.1</v>
      </c>
      <c r="L164" s="18">
        <f>L105</f>
        <v>10740000</v>
      </c>
      <c r="M164" s="70">
        <f t="shared" si="2"/>
        <v>200000</v>
      </c>
      <c r="N164" s="1"/>
    </row>
    <row r="165" spans="1:14" ht="12.75">
      <c r="A165" s="19">
        <v>13</v>
      </c>
      <c r="B165" s="20" t="s">
        <v>104</v>
      </c>
      <c r="C165" s="6"/>
      <c r="D165" s="6"/>
      <c r="E165" s="18"/>
      <c r="F165" s="18"/>
      <c r="G165" s="18">
        <f>G108</f>
        <v>70000</v>
      </c>
      <c r="H165" s="18">
        <f>H108</f>
        <v>70000</v>
      </c>
      <c r="I165" s="18"/>
      <c r="J165" s="18">
        <f>J108</f>
        <v>800000</v>
      </c>
      <c r="K165" s="18">
        <f>K108</f>
        <v>527449.8</v>
      </c>
      <c r="L165" s="18">
        <f>L108</f>
        <v>800000</v>
      </c>
      <c r="M165" s="70">
        <f t="shared" si="2"/>
        <v>0</v>
      </c>
      <c r="N165" s="1"/>
    </row>
    <row r="166" spans="1:14" ht="12.75">
      <c r="A166" s="19">
        <v>14</v>
      </c>
      <c r="B166" s="20" t="s">
        <v>81</v>
      </c>
      <c r="C166" s="6"/>
      <c r="D166" s="6"/>
      <c r="E166" s="18">
        <v>13300000</v>
      </c>
      <c r="F166" s="18"/>
      <c r="G166" s="18">
        <f>G111</f>
        <v>16100000</v>
      </c>
      <c r="H166" s="18">
        <f>H111</f>
        <v>16100000</v>
      </c>
      <c r="I166" s="18"/>
      <c r="J166" s="18">
        <f>J111</f>
        <v>15000000</v>
      </c>
      <c r="K166" s="18">
        <f>K111</f>
        <v>11624962.5</v>
      </c>
      <c r="L166" s="18">
        <f>L111</f>
        <v>15000000</v>
      </c>
      <c r="M166" s="70">
        <f t="shared" si="2"/>
        <v>0</v>
      </c>
      <c r="N166" s="1"/>
    </row>
    <row r="167" spans="1:14" ht="12.75">
      <c r="A167" s="19">
        <v>15</v>
      </c>
      <c r="B167" s="20" t="s">
        <v>55</v>
      </c>
      <c r="C167" s="6"/>
      <c r="D167" s="6"/>
      <c r="E167" s="18">
        <v>13098201.51</v>
      </c>
      <c r="F167" s="18"/>
      <c r="G167" s="18">
        <f>G137</f>
        <v>19809200</v>
      </c>
      <c r="H167" s="18">
        <f>H137</f>
        <v>20165000</v>
      </c>
      <c r="I167" s="18"/>
      <c r="J167" s="18">
        <f>J137</f>
        <v>27795400</v>
      </c>
      <c r="K167" s="18">
        <f>K137</f>
        <v>11216622.840000002</v>
      </c>
      <c r="L167" s="18">
        <f>L137</f>
        <v>32489400</v>
      </c>
      <c r="M167" s="70">
        <f t="shared" si="2"/>
        <v>4694000</v>
      </c>
      <c r="N167" s="1"/>
    </row>
    <row r="168" spans="1:14" ht="12.75">
      <c r="A168" s="19">
        <v>16</v>
      </c>
      <c r="B168" s="20" t="s">
        <v>71</v>
      </c>
      <c r="C168" s="6"/>
      <c r="D168" s="6"/>
      <c r="E168" s="18">
        <v>800000</v>
      </c>
      <c r="F168" s="18"/>
      <c r="G168" s="18">
        <f>G141</f>
        <v>800000</v>
      </c>
      <c r="H168" s="18">
        <f>H141</f>
        <v>500000</v>
      </c>
      <c r="I168" s="18"/>
      <c r="J168" s="18">
        <f>J141</f>
        <v>10000</v>
      </c>
      <c r="K168" s="18">
        <f>K141</f>
        <v>4447.77</v>
      </c>
      <c r="L168" s="18">
        <f>L141</f>
        <v>10000</v>
      </c>
      <c r="M168" s="70">
        <f t="shared" si="2"/>
        <v>0</v>
      </c>
      <c r="N168" s="1"/>
    </row>
    <row r="169" spans="1:14" ht="12.75">
      <c r="A169" s="19">
        <v>17</v>
      </c>
      <c r="B169" s="45" t="s">
        <v>82</v>
      </c>
      <c r="C169" s="6"/>
      <c r="D169" s="6"/>
      <c r="E169" s="18">
        <v>2000000</v>
      </c>
      <c r="F169" s="18"/>
      <c r="G169" s="18">
        <f>G145</f>
        <v>4500000</v>
      </c>
      <c r="H169" s="18">
        <f>H145</f>
        <v>6200000</v>
      </c>
      <c r="I169" s="18"/>
      <c r="J169" s="18">
        <f aca="true" t="shared" si="3" ref="J169:L170">J145</f>
        <v>5000000</v>
      </c>
      <c r="K169" s="18">
        <f t="shared" si="3"/>
        <v>0</v>
      </c>
      <c r="L169" s="18">
        <f t="shared" si="3"/>
        <v>5000000</v>
      </c>
      <c r="M169" s="70">
        <f t="shared" si="2"/>
        <v>0</v>
      </c>
      <c r="N169" s="1"/>
    </row>
    <row r="170" spans="1:14" ht="12.75">
      <c r="A170" s="19">
        <v>18</v>
      </c>
      <c r="B170" s="45" t="s">
        <v>139</v>
      </c>
      <c r="C170" s="6"/>
      <c r="D170" s="6"/>
      <c r="E170" s="18">
        <v>1000000</v>
      </c>
      <c r="F170" s="18"/>
      <c r="G170" s="18">
        <f>G146</f>
        <v>1200000</v>
      </c>
      <c r="H170" s="18">
        <f>H146</f>
        <v>1200000</v>
      </c>
      <c r="I170" s="18"/>
      <c r="J170" s="18">
        <f t="shared" si="3"/>
        <v>1500000</v>
      </c>
      <c r="K170" s="18">
        <f t="shared" si="3"/>
        <v>425883.01</v>
      </c>
      <c r="L170" s="18">
        <f t="shared" si="3"/>
        <v>1500000</v>
      </c>
      <c r="M170" s="70">
        <f t="shared" si="2"/>
        <v>0</v>
      </c>
      <c r="N170" s="1"/>
    </row>
    <row r="171" spans="1:16" ht="12.75">
      <c r="A171" s="16" t="s">
        <v>132</v>
      </c>
      <c r="B171" s="27" t="s">
        <v>126</v>
      </c>
      <c r="C171" s="6"/>
      <c r="D171" s="6"/>
      <c r="E171" s="24">
        <f>SUM(E158:E170)</f>
        <v>176624255.51</v>
      </c>
      <c r="F171" s="24"/>
      <c r="G171" s="24">
        <f>SUM(G158:G170)</f>
        <v>250086400</v>
      </c>
      <c r="H171" s="24">
        <f>SUM(H158:H170)</f>
        <v>239611200</v>
      </c>
      <c r="I171" s="24"/>
      <c r="J171" s="24">
        <f>SUM(J158:J170)</f>
        <v>293505400</v>
      </c>
      <c r="K171" s="24">
        <f>SUM(K158:K170)</f>
        <v>167266823.23000002</v>
      </c>
      <c r="L171" s="24">
        <f>SUM(L158:L170)</f>
        <v>311529400</v>
      </c>
      <c r="M171" s="71">
        <f t="shared" si="2"/>
        <v>18024000</v>
      </c>
      <c r="N171" s="1"/>
      <c r="P171" s="1"/>
    </row>
    <row r="172" spans="1:14" ht="13.5" thickBot="1">
      <c r="A172" s="89" t="s">
        <v>146</v>
      </c>
      <c r="B172" s="90"/>
      <c r="C172" s="10"/>
      <c r="D172" s="10"/>
      <c r="E172" s="47">
        <f>E157-E171</f>
        <v>605067.6899999976</v>
      </c>
      <c r="F172" s="47"/>
      <c r="G172" s="47">
        <f>G157-G171</f>
        <v>6378600</v>
      </c>
      <c r="H172" s="47">
        <f>H157-H171</f>
        <v>6538800</v>
      </c>
      <c r="I172" s="47"/>
      <c r="J172" s="47">
        <f>J157-J171</f>
        <v>504000</v>
      </c>
      <c r="K172" s="47">
        <f>K157-K171</f>
        <v>19949947.49000001</v>
      </c>
      <c r="L172" s="47">
        <f>L157-L171</f>
        <v>510000</v>
      </c>
      <c r="M172" s="72"/>
      <c r="N172" s="1"/>
    </row>
    <row r="173" spans="1:13" ht="12.75">
      <c r="A173" s="48"/>
      <c r="B173" s="48"/>
      <c r="C173" s="49"/>
      <c r="D173" s="49"/>
      <c r="E173" s="50"/>
      <c r="F173" s="50"/>
      <c r="G173" s="50"/>
      <c r="H173" s="50"/>
      <c r="I173" s="50"/>
      <c r="J173" s="50"/>
      <c r="K173" s="50"/>
      <c r="L173" s="50"/>
      <c r="M173" s="1"/>
    </row>
    <row r="174" spans="1:13" ht="12.75">
      <c r="A174" s="48"/>
      <c r="B174" s="48"/>
      <c r="C174" s="49"/>
      <c r="D174" s="49"/>
      <c r="E174" s="50"/>
      <c r="F174" s="50"/>
      <c r="G174" s="50"/>
      <c r="H174" s="50"/>
      <c r="I174" s="50"/>
      <c r="J174" s="50"/>
      <c r="K174" s="50"/>
      <c r="L174" s="50"/>
      <c r="M174" s="1"/>
    </row>
    <row r="175" spans="1:12" ht="12.75">
      <c r="A175" s="91" t="s">
        <v>137</v>
      </c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1:12" ht="12.75">
      <c r="A176" s="91" t="s">
        <v>129</v>
      </c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2:16" ht="12.75">
      <c r="B178" s="73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P178" s="1"/>
    </row>
    <row r="179" ht="12.75">
      <c r="M179" s="1"/>
    </row>
    <row r="180" ht="12.75">
      <c r="M180" s="1"/>
    </row>
    <row r="181" ht="12.75">
      <c r="M181" s="1"/>
    </row>
  </sheetData>
  <sheetProtection/>
  <mergeCells count="19">
    <mergeCell ref="A176:L176"/>
    <mergeCell ref="A149:B149"/>
    <mergeCell ref="A150:F150"/>
    <mergeCell ref="A1:B1"/>
    <mergeCell ref="A2:B2"/>
    <mergeCell ref="A4:B6"/>
    <mergeCell ref="H4:H6"/>
    <mergeCell ref="J4:J6"/>
    <mergeCell ref="K4:K6"/>
    <mergeCell ref="B178:L178"/>
    <mergeCell ref="A11:B11"/>
    <mergeCell ref="A14:B14"/>
    <mergeCell ref="A16:B16"/>
    <mergeCell ref="A51:B51"/>
    <mergeCell ref="A3:M3"/>
    <mergeCell ref="M4:M6"/>
    <mergeCell ref="L4:L6"/>
    <mergeCell ref="A172:B172"/>
    <mergeCell ref="A175:L17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Spomenka Milošević</dc:creator>
  <cp:keywords/>
  <dc:description/>
  <cp:lastModifiedBy>spomenka.milosevic@jpkk.rs</cp:lastModifiedBy>
  <cp:lastPrinted>2022-10-12T07:00:21Z</cp:lastPrinted>
  <dcterms:created xsi:type="dcterms:W3CDTF">2009-12-15T06:47:50Z</dcterms:created>
  <dcterms:modified xsi:type="dcterms:W3CDTF">2022-10-18T10:01:31Z</dcterms:modified>
  <cp:category/>
  <cp:version/>
  <cp:contentType/>
  <cp:contentStatus/>
</cp:coreProperties>
</file>